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aldg\Downloads\NEW DOwnloads\A40_NATIVE_EXCEL_GATE_V1_0_1\A40_NATIVE_EXCEL_GATE_V1_0_1\"/>
    </mc:Choice>
  </mc:AlternateContent>
  <xr:revisionPtr revIDLastSave="0" documentId="13_ncr:1_{CC9E4A7E-E5D6-449E-AED4-B96202BDA635}" xr6:coauthVersionLast="47" xr6:coauthVersionMax="47" xr10:uidLastSave="{00000000-0000-0000-0000-000000000000}"/>
  <bookViews>
    <workbookView xWindow="10350" yWindow="10350" windowWidth="2400" windowHeight="585" xr2:uid="{00000000-000D-0000-FFFF-FFFF00000000}"/>
  </bookViews>
  <sheets>
    <sheet name="Start Here" sheetId="1" r:id="rId1"/>
    <sheet name="Territory Comparison Cockpit" sheetId="2" r:id="rId2"/>
    <sheet name="Territory Register" sheetId="3" r:id="rId3"/>
    <sheet name="Boundary &amp; Scope" sheetId="4" r:id="rId4"/>
    <sheet name="Commercial Path Evidence" sheetId="5" r:id="rId5"/>
    <sheet name="Overlap &amp; Dependency" sheetId="6" r:id="rId6"/>
    <sheet name="Comparison Matrix" sheetId="7" r:id="rId7"/>
    <sheet name="Frontier &amp; Stability" sheetId="8" r:id="rId8"/>
    <sheet name="Scenario Review" sheetId="9" r:id="rId9"/>
    <sheet name="Comparison Records" sheetId="10" r:id="rId10"/>
    <sheet name="Worked Examples" sheetId="11" r:id="rId11"/>
    <sheet name="Controlled Definitions" sheetId="12" r:id="rId12"/>
    <sheet name="Canonical Fixtures" sheetId="13" r:id="rId13"/>
    <sheet name="Method Notes" sheetId="14" r:id="rId14"/>
  </sheets>
  <definedNames>
    <definedName name="A40_TerritoryTypes">'Controlled Definitions'!$A$5:$A$16</definedName>
  </definedNames>
  <calcPr calcId="191029"/>
</workbook>
</file>

<file path=xl/calcChain.xml><?xml version="1.0" encoding="utf-8"?>
<calcChain xmlns="http://schemas.openxmlformats.org/spreadsheetml/2006/main">
  <c r="T50" i="13" l="1"/>
  <c r="U50" i="13" s="1"/>
  <c r="Q50" i="13"/>
  <c r="R50" i="13" s="1"/>
  <c r="T49" i="13"/>
  <c r="U49" i="13" s="1"/>
  <c r="Q49" i="13"/>
  <c r="R49" i="13" s="1"/>
  <c r="T48" i="13"/>
  <c r="U48" i="13" s="1"/>
  <c r="Q48" i="13"/>
  <c r="R48" i="13" s="1"/>
  <c r="AE47" i="13"/>
  <c r="AD47" i="13"/>
  <c r="AC47" i="13"/>
  <c r="AB47" i="13"/>
  <c r="AA47" i="13"/>
  <c r="Z47" i="13"/>
  <c r="Y47" i="13"/>
  <c r="X47" i="13"/>
  <c r="W47" i="13"/>
  <c r="V47" i="13"/>
  <c r="Q47" i="13"/>
  <c r="T47" i="13" s="1"/>
  <c r="U47" i="13" s="1"/>
  <c r="AG46" i="13"/>
  <c r="AE46" i="13"/>
  <c r="AD46" i="13"/>
  <c r="AC46" i="13"/>
  <c r="AB46" i="13"/>
  <c r="AA46" i="13"/>
  <c r="Z46" i="13"/>
  <c r="Y46" i="13"/>
  <c r="X46" i="13"/>
  <c r="W46" i="13"/>
  <c r="V46" i="13"/>
  <c r="AG45" i="13"/>
  <c r="AE45" i="13"/>
  <c r="AD45" i="13"/>
  <c r="AC45" i="13"/>
  <c r="AB45" i="13"/>
  <c r="AA45" i="13"/>
  <c r="Z45" i="13"/>
  <c r="Y45" i="13"/>
  <c r="X45" i="13"/>
  <c r="W45" i="13"/>
  <c r="V45" i="13"/>
  <c r="AG44" i="13"/>
  <c r="AE44" i="13"/>
  <c r="AD44" i="13"/>
  <c r="AC44" i="13"/>
  <c r="AB44" i="13"/>
  <c r="AA44" i="13"/>
  <c r="Z44" i="13"/>
  <c r="Y44" i="13"/>
  <c r="X44" i="13"/>
  <c r="W44" i="13"/>
  <c r="V44" i="13"/>
  <c r="AG43" i="13"/>
  <c r="AE43" i="13"/>
  <c r="AD43" i="13"/>
  <c r="AC43" i="13"/>
  <c r="AB43" i="13"/>
  <c r="AA43" i="13"/>
  <c r="Z43" i="13"/>
  <c r="Y43" i="13"/>
  <c r="X43" i="13"/>
  <c r="W43" i="13"/>
  <c r="V43" i="13"/>
  <c r="AG42" i="13"/>
  <c r="AE42" i="13"/>
  <c r="AD42" i="13"/>
  <c r="AC42" i="13"/>
  <c r="AB42" i="13"/>
  <c r="AA42" i="13"/>
  <c r="Z42" i="13"/>
  <c r="Y42" i="13"/>
  <c r="X42" i="13"/>
  <c r="W42" i="13"/>
  <c r="V42" i="13"/>
  <c r="AG41" i="13"/>
  <c r="AE41" i="13"/>
  <c r="AD41" i="13"/>
  <c r="AC41" i="13"/>
  <c r="AB41" i="13"/>
  <c r="AA41" i="13"/>
  <c r="Z41" i="13"/>
  <c r="Y41" i="13"/>
  <c r="X41" i="13"/>
  <c r="W41" i="13"/>
  <c r="V41" i="13"/>
  <c r="AG40" i="13"/>
  <c r="AE40" i="13"/>
  <c r="AD40" i="13"/>
  <c r="AC40" i="13"/>
  <c r="AB40" i="13"/>
  <c r="AA40" i="13"/>
  <c r="Z40" i="13"/>
  <c r="Y40" i="13"/>
  <c r="X40" i="13"/>
  <c r="W40" i="13"/>
  <c r="V40" i="13"/>
  <c r="AG39" i="13"/>
  <c r="AE39" i="13"/>
  <c r="AD39" i="13"/>
  <c r="AC39" i="13"/>
  <c r="AB39" i="13"/>
  <c r="AA39" i="13"/>
  <c r="Z39" i="13"/>
  <c r="Y39" i="13"/>
  <c r="X39" i="13"/>
  <c r="W39" i="13"/>
  <c r="V39" i="13"/>
  <c r="AG38" i="13"/>
  <c r="AE38" i="13"/>
  <c r="AD38" i="13"/>
  <c r="AC38" i="13"/>
  <c r="AB38" i="13"/>
  <c r="AA38" i="13"/>
  <c r="Z38" i="13"/>
  <c r="Y38" i="13"/>
  <c r="X38" i="13"/>
  <c r="W38" i="13"/>
  <c r="V38" i="13"/>
  <c r="AG37" i="13"/>
  <c r="AE37" i="13"/>
  <c r="AD37" i="13"/>
  <c r="AC37" i="13"/>
  <c r="AB37" i="13"/>
  <c r="AA37" i="13"/>
  <c r="Z37" i="13"/>
  <c r="Y37" i="13"/>
  <c r="X37" i="13"/>
  <c r="W37" i="13"/>
  <c r="V37" i="13"/>
  <c r="AG36" i="13"/>
  <c r="AE36" i="13"/>
  <c r="AD36" i="13"/>
  <c r="AC36" i="13"/>
  <c r="AB36" i="13"/>
  <c r="AA36" i="13"/>
  <c r="Z36" i="13"/>
  <c r="Y36" i="13"/>
  <c r="X36" i="13"/>
  <c r="W36" i="13"/>
  <c r="V36" i="13"/>
  <c r="AG35" i="13"/>
  <c r="AE35" i="13"/>
  <c r="AD35" i="13"/>
  <c r="AC35" i="13"/>
  <c r="AB35" i="13"/>
  <c r="AA35" i="13"/>
  <c r="Z35" i="13"/>
  <c r="Y35" i="13"/>
  <c r="X35" i="13"/>
  <c r="W35" i="13"/>
  <c r="V35" i="13"/>
  <c r="AG34" i="13"/>
  <c r="AE34" i="13"/>
  <c r="AD34" i="13"/>
  <c r="AC34" i="13"/>
  <c r="AB34" i="13"/>
  <c r="AA34" i="13"/>
  <c r="Z34" i="13"/>
  <c r="Y34" i="13"/>
  <c r="X34" i="13"/>
  <c r="W34" i="13"/>
  <c r="V34" i="13"/>
  <c r="AG33" i="13"/>
  <c r="AE33" i="13"/>
  <c r="AD33" i="13"/>
  <c r="AC33" i="13"/>
  <c r="AB33" i="13"/>
  <c r="AA33" i="13"/>
  <c r="Z33" i="13"/>
  <c r="Y33" i="13"/>
  <c r="X33" i="13"/>
  <c r="W33" i="13"/>
  <c r="V33" i="13"/>
  <c r="AG32" i="13"/>
  <c r="AE32" i="13"/>
  <c r="AD32" i="13"/>
  <c r="AC32" i="13"/>
  <c r="AB32" i="13"/>
  <c r="AA32" i="13"/>
  <c r="Z32" i="13"/>
  <c r="Y32" i="13"/>
  <c r="X32" i="13"/>
  <c r="W32" i="13"/>
  <c r="V32" i="13"/>
  <c r="AG31" i="13"/>
  <c r="AE31" i="13"/>
  <c r="AD31" i="13"/>
  <c r="AC31" i="13"/>
  <c r="AB31" i="13"/>
  <c r="AA31" i="13"/>
  <c r="Z31" i="13"/>
  <c r="Y31" i="13"/>
  <c r="X31" i="13"/>
  <c r="W31" i="13"/>
  <c r="V31" i="13"/>
  <c r="AG30" i="13"/>
  <c r="AE30" i="13"/>
  <c r="AD30" i="13"/>
  <c r="AC30" i="13"/>
  <c r="AB30" i="13"/>
  <c r="AA30" i="13"/>
  <c r="Z30" i="13"/>
  <c r="Y30" i="13"/>
  <c r="X30" i="13"/>
  <c r="W30" i="13"/>
  <c r="V30" i="13"/>
  <c r="AG29" i="13"/>
  <c r="AE29" i="13"/>
  <c r="AD29" i="13"/>
  <c r="AC29" i="13"/>
  <c r="AB29" i="13"/>
  <c r="AA29" i="13"/>
  <c r="Z29" i="13"/>
  <c r="Y29" i="13"/>
  <c r="X29" i="13"/>
  <c r="W29" i="13"/>
  <c r="V29" i="13"/>
  <c r="AG28" i="13"/>
  <c r="AE28" i="13"/>
  <c r="AD28" i="13"/>
  <c r="AC28" i="13"/>
  <c r="AB28" i="13"/>
  <c r="AA28" i="13"/>
  <c r="Z28" i="13"/>
  <c r="Y28" i="13"/>
  <c r="X28" i="13"/>
  <c r="W28" i="13"/>
  <c r="V28" i="13"/>
  <c r="AG27" i="13"/>
  <c r="AE27" i="13"/>
  <c r="AD27" i="13"/>
  <c r="AC27" i="13"/>
  <c r="AB27" i="13"/>
  <c r="AA27" i="13"/>
  <c r="Z27" i="13"/>
  <c r="Y27" i="13"/>
  <c r="X27" i="13"/>
  <c r="W27" i="13"/>
  <c r="V27" i="13"/>
  <c r="AG26" i="13"/>
  <c r="AE26" i="13"/>
  <c r="AD26" i="13"/>
  <c r="AC26" i="13"/>
  <c r="AB26" i="13"/>
  <c r="AA26" i="13"/>
  <c r="Z26" i="13"/>
  <c r="Y26" i="13"/>
  <c r="X26" i="13"/>
  <c r="W26" i="13"/>
  <c r="V26" i="13"/>
  <c r="AG25" i="13"/>
  <c r="AE25" i="13"/>
  <c r="AD25" i="13"/>
  <c r="AC25" i="13"/>
  <c r="AB25" i="13"/>
  <c r="AA25" i="13"/>
  <c r="Z25" i="13"/>
  <c r="Y25" i="13"/>
  <c r="X25" i="13"/>
  <c r="W25" i="13"/>
  <c r="T25" i="13" s="1"/>
  <c r="U25" i="13" s="1"/>
  <c r="V25" i="13"/>
  <c r="AG24" i="13"/>
  <c r="AE24" i="13"/>
  <c r="AD24" i="13"/>
  <c r="AC24" i="13"/>
  <c r="AB24" i="13"/>
  <c r="AA24" i="13"/>
  <c r="Z24" i="13"/>
  <c r="Y24" i="13"/>
  <c r="X24" i="13"/>
  <c r="W24" i="13"/>
  <c r="V24" i="13"/>
  <c r="AG23" i="13"/>
  <c r="AE23" i="13"/>
  <c r="AD23" i="13"/>
  <c r="AC23" i="13"/>
  <c r="AB23" i="13"/>
  <c r="AA23" i="13"/>
  <c r="Z23" i="13"/>
  <c r="Y23" i="13"/>
  <c r="X23" i="13"/>
  <c r="W23" i="13"/>
  <c r="V23" i="13"/>
  <c r="AG22" i="13"/>
  <c r="AE22" i="13"/>
  <c r="AD22" i="13"/>
  <c r="AC22" i="13"/>
  <c r="AB22" i="13"/>
  <c r="AA22" i="13"/>
  <c r="Z22" i="13"/>
  <c r="Y22" i="13"/>
  <c r="X22" i="13"/>
  <c r="W22" i="13"/>
  <c r="V22" i="13"/>
  <c r="AG21" i="13"/>
  <c r="AE21" i="13"/>
  <c r="AD21" i="13"/>
  <c r="AC21" i="13"/>
  <c r="AB21" i="13"/>
  <c r="AA21" i="13"/>
  <c r="Z21" i="13"/>
  <c r="Y21" i="13"/>
  <c r="X21" i="13"/>
  <c r="W21" i="13"/>
  <c r="V21" i="13"/>
  <c r="AG20" i="13"/>
  <c r="AE20" i="13"/>
  <c r="AD20" i="13"/>
  <c r="AC20" i="13"/>
  <c r="AB20" i="13"/>
  <c r="AA20" i="13"/>
  <c r="Z20" i="13"/>
  <c r="Y20" i="13"/>
  <c r="X20" i="13"/>
  <c r="W20" i="13"/>
  <c r="V20" i="13"/>
  <c r="AG19" i="13"/>
  <c r="AE19" i="13"/>
  <c r="AD19" i="13"/>
  <c r="AC19" i="13"/>
  <c r="AB19" i="13"/>
  <c r="AA19" i="13"/>
  <c r="Z19" i="13"/>
  <c r="Y19" i="13"/>
  <c r="X19" i="13"/>
  <c r="W19" i="13"/>
  <c r="V19" i="13"/>
  <c r="AG18" i="13"/>
  <c r="AE18" i="13"/>
  <c r="AD18" i="13"/>
  <c r="AC18" i="13"/>
  <c r="AB18" i="13"/>
  <c r="AA18" i="13"/>
  <c r="Z18" i="13"/>
  <c r="Y18" i="13"/>
  <c r="X18" i="13"/>
  <c r="W18" i="13"/>
  <c r="V18" i="13"/>
  <c r="AG17" i="13"/>
  <c r="AE17" i="13"/>
  <c r="AD17" i="13"/>
  <c r="AC17" i="13"/>
  <c r="AB17" i="13"/>
  <c r="AA17" i="13"/>
  <c r="Z17" i="13"/>
  <c r="Y17" i="13"/>
  <c r="X17" i="13"/>
  <c r="W17" i="13"/>
  <c r="V17" i="13"/>
  <c r="AG16" i="13"/>
  <c r="AE16" i="13"/>
  <c r="AD16" i="13"/>
  <c r="AC16" i="13"/>
  <c r="AB16" i="13"/>
  <c r="AA16" i="13"/>
  <c r="Z16" i="13"/>
  <c r="Y16" i="13"/>
  <c r="X16" i="13"/>
  <c r="W16" i="13"/>
  <c r="V16" i="13"/>
  <c r="AG15" i="13"/>
  <c r="AE15" i="13"/>
  <c r="AD15" i="13"/>
  <c r="AC15" i="13"/>
  <c r="AB15" i="13"/>
  <c r="AA15" i="13"/>
  <c r="Z15" i="13"/>
  <c r="Y15" i="13"/>
  <c r="X15" i="13"/>
  <c r="W15" i="13"/>
  <c r="V15" i="13"/>
  <c r="Q15" i="13" s="1"/>
  <c r="R15" i="13" s="1"/>
  <c r="AG14" i="13"/>
  <c r="AE14" i="13"/>
  <c r="AD14" i="13"/>
  <c r="AC14" i="13"/>
  <c r="AB14" i="13"/>
  <c r="AA14" i="13"/>
  <c r="Z14" i="13"/>
  <c r="Y14" i="13"/>
  <c r="X14" i="13"/>
  <c r="W14" i="13"/>
  <c r="V14" i="13"/>
  <c r="AG13" i="13"/>
  <c r="AE13" i="13"/>
  <c r="AD13" i="13"/>
  <c r="AC13" i="13"/>
  <c r="AB13" i="13"/>
  <c r="AA13" i="13"/>
  <c r="Z13" i="13"/>
  <c r="Y13" i="13"/>
  <c r="X13" i="13"/>
  <c r="W13" i="13"/>
  <c r="V13" i="13"/>
  <c r="AG12" i="13"/>
  <c r="AE12" i="13"/>
  <c r="AD12" i="13"/>
  <c r="AC12" i="13"/>
  <c r="AB12" i="13"/>
  <c r="AA12" i="13"/>
  <c r="Z12" i="13"/>
  <c r="Y12" i="13"/>
  <c r="X12" i="13"/>
  <c r="W12" i="13"/>
  <c r="V12" i="13"/>
  <c r="AG11" i="13"/>
  <c r="AE11" i="13"/>
  <c r="AD11" i="13"/>
  <c r="AC11" i="13"/>
  <c r="AB11" i="13"/>
  <c r="AA11" i="13"/>
  <c r="Z11" i="13"/>
  <c r="Y11" i="13"/>
  <c r="X11" i="13"/>
  <c r="W11" i="13"/>
  <c r="V11" i="13"/>
  <c r="Q11" i="13" s="1"/>
  <c r="R11" i="13" s="1"/>
  <c r="T11" i="13"/>
  <c r="U11" i="13" s="1"/>
  <c r="AG10" i="13"/>
  <c r="AE10" i="13"/>
  <c r="AD10" i="13"/>
  <c r="AC10" i="13"/>
  <c r="AB10" i="13"/>
  <c r="AA10" i="13"/>
  <c r="Z10" i="13"/>
  <c r="Y10" i="13"/>
  <c r="X10" i="13"/>
  <c r="W10" i="13"/>
  <c r="V10" i="13"/>
  <c r="T10" i="13" s="1"/>
  <c r="U10" i="13" s="1"/>
  <c r="AG9" i="13"/>
  <c r="AE9" i="13"/>
  <c r="AD9" i="13"/>
  <c r="AC9" i="13"/>
  <c r="AB9" i="13"/>
  <c r="AA9" i="13"/>
  <c r="Z9" i="13"/>
  <c r="Y9" i="13"/>
  <c r="X9" i="13"/>
  <c r="W9" i="13"/>
  <c r="V9" i="13"/>
  <c r="T9" i="13"/>
  <c r="U9" i="13" s="1"/>
  <c r="Q9" i="13"/>
  <c r="R9" i="13" s="1"/>
  <c r="AG8" i="13"/>
  <c r="AE8" i="13"/>
  <c r="AD8" i="13"/>
  <c r="AC8" i="13"/>
  <c r="AB8" i="13"/>
  <c r="AA8" i="13"/>
  <c r="Z8" i="13"/>
  <c r="Y8" i="13"/>
  <c r="X8" i="13"/>
  <c r="W8" i="13"/>
  <c r="V8" i="13"/>
  <c r="Q8" i="13" s="1"/>
  <c r="R8" i="13" s="1"/>
  <c r="T8" i="13"/>
  <c r="U8" i="13" s="1"/>
  <c r="AG7" i="13"/>
  <c r="AE7" i="13"/>
  <c r="AD7" i="13"/>
  <c r="AC7" i="13"/>
  <c r="AB7" i="13"/>
  <c r="AA7" i="13"/>
  <c r="Z7" i="13"/>
  <c r="Y7" i="13"/>
  <c r="X7" i="13"/>
  <c r="W7" i="13"/>
  <c r="V7" i="13"/>
  <c r="AG6" i="13"/>
  <c r="AE6" i="13"/>
  <c r="AD6" i="13"/>
  <c r="AC6" i="13"/>
  <c r="AB6" i="13"/>
  <c r="AA6" i="13"/>
  <c r="Z6" i="13"/>
  <c r="Y6" i="13"/>
  <c r="X6" i="13"/>
  <c r="W6" i="13"/>
  <c r="V6" i="13"/>
  <c r="AG5" i="13"/>
  <c r="AE5" i="13"/>
  <c r="AD5" i="13"/>
  <c r="AC5" i="13"/>
  <c r="AB5" i="13"/>
  <c r="AA5" i="13"/>
  <c r="Z5" i="13"/>
  <c r="Y5" i="13"/>
  <c r="X5" i="13"/>
  <c r="W5" i="13"/>
  <c r="V5" i="13"/>
  <c r="C7" i="8"/>
  <c r="A7" i="8"/>
  <c r="C6" i="8"/>
  <c r="A6" i="8"/>
  <c r="C5" i="8"/>
  <c r="A5" i="8"/>
  <c r="K12" i="7"/>
  <c r="J12" i="7"/>
  <c r="G12" i="7" s="1"/>
  <c r="I12" i="7"/>
  <c r="K11" i="7"/>
  <c r="J11" i="7"/>
  <c r="I11" i="7"/>
  <c r="K10" i="7"/>
  <c r="J10" i="7"/>
  <c r="G10" i="7" s="1"/>
  <c r="I10" i="7"/>
  <c r="F10" i="7" s="1"/>
  <c r="K9" i="7"/>
  <c r="G9" i="7" s="1"/>
  <c r="J9" i="7"/>
  <c r="I9" i="7"/>
  <c r="K8" i="7"/>
  <c r="J8" i="7"/>
  <c r="I8" i="7"/>
  <c r="K7" i="7"/>
  <c r="J7" i="7"/>
  <c r="I7" i="7"/>
  <c r="F7" i="7" s="1"/>
  <c r="G7" i="7"/>
  <c r="K6" i="7"/>
  <c r="J6" i="7"/>
  <c r="I6" i="7"/>
  <c r="G6" i="7"/>
  <c r="K5" i="7"/>
  <c r="J5" i="7"/>
  <c r="I5" i="7"/>
  <c r="Z7" i="6"/>
  <c r="W7" i="6"/>
  <c r="V7" i="6"/>
  <c r="U7" i="6"/>
  <c r="T7" i="6"/>
  <c r="S7" i="6"/>
  <c r="O7" i="6"/>
  <c r="N7" i="6"/>
  <c r="M7" i="6"/>
  <c r="L7" i="6"/>
  <c r="Z6" i="6"/>
  <c r="W6" i="6"/>
  <c r="V6" i="6"/>
  <c r="U6" i="6"/>
  <c r="T6" i="6"/>
  <c r="S6" i="6"/>
  <c r="O6" i="6"/>
  <c r="N6" i="6"/>
  <c r="M6" i="6"/>
  <c r="L6" i="6"/>
  <c r="Z5" i="6"/>
  <c r="W5" i="6"/>
  <c r="V5" i="6"/>
  <c r="U5" i="6"/>
  <c r="T5" i="6"/>
  <c r="S5" i="6"/>
  <c r="O5" i="6"/>
  <c r="N5" i="6"/>
  <c r="M5" i="6"/>
  <c r="L5" i="6"/>
  <c r="B7" i="4"/>
  <c r="A7" i="4"/>
  <c r="G7" i="4" s="1"/>
  <c r="J6" i="4"/>
  <c r="B6" i="4"/>
  <c r="A6" i="4"/>
  <c r="I6" i="4" s="1"/>
  <c r="B5" i="4"/>
  <c r="A5" i="4"/>
  <c r="K5" i="4" s="1"/>
  <c r="D8" i="2"/>
  <c r="C8" i="2"/>
  <c r="B8" i="2"/>
  <c r="D7" i="2"/>
  <c r="C7" i="2"/>
  <c r="B7" i="2"/>
  <c r="D6" i="2"/>
  <c r="C6" i="2"/>
  <c r="B6" i="2"/>
  <c r="D5" i="2"/>
  <c r="C5" i="2"/>
  <c r="B5" i="2"/>
  <c r="Q16" i="13" l="1"/>
  <c r="R16" i="13" s="1"/>
  <c r="T39" i="13"/>
  <c r="U39" i="13" s="1"/>
  <c r="T14" i="13"/>
  <c r="U14" i="13" s="1"/>
  <c r="Q28" i="13"/>
  <c r="R28" i="13" s="1"/>
  <c r="T38" i="13"/>
  <c r="U38" i="13" s="1"/>
  <c r="T27" i="13"/>
  <c r="U27" i="13" s="1"/>
  <c r="Q32" i="13"/>
  <c r="R32" i="13" s="1"/>
  <c r="T35" i="13"/>
  <c r="U35" i="13" s="1"/>
  <c r="Q7" i="13"/>
  <c r="R7" i="13" s="1"/>
  <c r="T6" i="13"/>
  <c r="U6" i="13" s="1"/>
  <c r="T12" i="13"/>
  <c r="U12" i="13" s="1"/>
  <c r="R47" i="13"/>
  <c r="G11" i="7"/>
  <c r="T23" i="13"/>
  <c r="U23" i="13" s="1"/>
  <c r="G8" i="7"/>
  <c r="Q20" i="13"/>
  <c r="R20" i="13" s="1"/>
  <c r="G5" i="7"/>
  <c r="D7" i="8" s="1"/>
  <c r="T19" i="13"/>
  <c r="U19" i="13" s="1"/>
  <c r="T31" i="13"/>
  <c r="U31" i="13" s="1"/>
  <c r="T43" i="13"/>
  <c r="U43" i="13" s="1"/>
  <c r="T20" i="13"/>
  <c r="U20" i="13" s="1"/>
  <c r="T17" i="13"/>
  <c r="U17" i="13" s="1"/>
  <c r="Q24" i="13"/>
  <c r="R24" i="13" s="1"/>
  <c r="F6" i="7"/>
  <c r="D6" i="8" s="1"/>
  <c r="F9" i="7"/>
  <c r="F12" i="7"/>
  <c r="Q10" i="13"/>
  <c r="R10" i="13" s="1"/>
  <c r="T34" i="13"/>
  <c r="U34" i="13" s="1"/>
  <c r="Q35" i="13"/>
  <c r="R35" i="13" s="1"/>
  <c r="Q44" i="13"/>
  <c r="R44" i="13" s="1"/>
  <c r="Q14" i="13"/>
  <c r="R14" i="13" s="1"/>
  <c r="Q38" i="13"/>
  <c r="R38" i="13" s="1"/>
  <c r="Q34" i="13"/>
  <c r="R34" i="13" s="1"/>
  <c r="T36" i="13"/>
  <c r="U36" i="13" s="1"/>
  <c r="T37" i="13"/>
  <c r="U37" i="13" s="1"/>
  <c r="T21" i="13"/>
  <c r="U21" i="13" s="1"/>
  <c r="T16" i="13"/>
  <c r="U16" i="13" s="1"/>
  <c r="X7" i="6"/>
  <c r="Q5" i="13"/>
  <c r="R5" i="13" s="1"/>
  <c r="Q6" i="13"/>
  <c r="R6" i="13" s="1"/>
  <c r="X6" i="6"/>
  <c r="Q25" i="13"/>
  <c r="R25" i="13" s="1"/>
  <c r="T30" i="13"/>
  <c r="U30" i="13" s="1"/>
  <c r="Q31" i="13"/>
  <c r="R31" i="13" s="1"/>
  <c r="Q40" i="13"/>
  <c r="R40" i="13" s="1"/>
  <c r="Q30" i="13"/>
  <c r="R30" i="13" s="1"/>
  <c r="T32" i="13"/>
  <c r="U32" i="13" s="1"/>
  <c r="T33" i="13"/>
  <c r="U33" i="13" s="1"/>
  <c r="T40" i="13"/>
  <c r="U40" i="13" s="1"/>
  <c r="T5" i="13"/>
  <c r="U5" i="13" s="1"/>
  <c r="T13" i="13"/>
  <c r="U13" i="13" s="1"/>
  <c r="X5" i="6"/>
  <c r="T22" i="13"/>
  <c r="U22" i="13" s="1"/>
  <c r="Q23" i="13"/>
  <c r="R23" i="13" s="1"/>
  <c r="T26" i="13"/>
  <c r="U26" i="13" s="1"/>
  <c r="Q27" i="13"/>
  <c r="R27" i="13" s="1"/>
  <c r="Q22" i="13"/>
  <c r="R22" i="13" s="1"/>
  <c r="T24" i="13"/>
  <c r="U24" i="13" s="1"/>
  <c r="Q26" i="13"/>
  <c r="R26" i="13" s="1"/>
  <c r="Q36" i="13"/>
  <c r="R36" i="13" s="1"/>
  <c r="T42" i="13"/>
  <c r="U42" i="13" s="1"/>
  <c r="Q39" i="13"/>
  <c r="R39" i="13" s="1"/>
  <c r="T18" i="13"/>
  <c r="U18" i="13" s="1"/>
  <c r="Q19" i="13"/>
  <c r="R19" i="13" s="1"/>
  <c r="T28" i="13"/>
  <c r="U28" i="13" s="1"/>
  <c r="T29" i="13"/>
  <c r="U29" i="13" s="1"/>
  <c r="Q42" i="13"/>
  <c r="R42" i="13" s="1"/>
  <c r="Q43" i="13"/>
  <c r="R43" i="13" s="1"/>
  <c r="T44" i="13"/>
  <c r="U44" i="13" s="1"/>
  <c r="T45" i="13"/>
  <c r="U45" i="13" s="1"/>
  <c r="Q12" i="13"/>
  <c r="R12" i="13" s="1"/>
  <c r="T41" i="13"/>
  <c r="U41" i="13" s="1"/>
  <c r="F5" i="7"/>
  <c r="F8" i="7"/>
  <c r="F11" i="7"/>
  <c r="T7" i="13"/>
  <c r="U7" i="13" s="1"/>
  <c r="T15" i="13"/>
  <c r="U15" i="13" s="1"/>
  <c r="Q18" i="13"/>
  <c r="R18" i="13" s="1"/>
  <c r="H7" i="4"/>
  <c r="K6" i="4"/>
  <c r="I7" i="4"/>
  <c r="Q5" i="4"/>
  <c r="J7" i="4"/>
  <c r="Q6" i="4"/>
  <c r="E6" i="7"/>
  <c r="E8" i="7"/>
  <c r="E10" i="7"/>
  <c r="E12" i="7"/>
  <c r="Q13" i="13"/>
  <c r="R13" i="13" s="1"/>
  <c r="Q17" i="13"/>
  <c r="R17" i="13" s="1"/>
  <c r="Q21" i="13"/>
  <c r="R21" i="13" s="1"/>
  <c r="Q29" i="13"/>
  <c r="R29" i="13" s="1"/>
  <c r="Q33" i="13"/>
  <c r="R33" i="13" s="1"/>
  <c r="Q37" i="13"/>
  <c r="R37" i="13" s="1"/>
  <c r="Q41" i="13"/>
  <c r="R41" i="13" s="1"/>
  <c r="Q45" i="13"/>
  <c r="R45" i="13" s="1"/>
  <c r="E6" i="4"/>
  <c r="H5" i="4"/>
  <c r="C5" i="4"/>
  <c r="E5" i="4"/>
  <c r="D6" i="4"/>
  <c r="G5" i="4"/>
  <c r="C7" i="4"/>
  <c r="I5" i="4"/>
  <c r="G6" i="4"/>
  <c r="E7" i="4"/>
  <c r="C6" i="4"/>
  <c r="F6" i="4"/>
  <c r="D7" i="4"/>
  <c r="J5" i="4"/>
  <c r="H6" i="4"/>
  <c r="F7" i="4"/>
  <c r="E5" i="7"/>
  <c r="E7" i="7"/>
  <c r="E9" i="7"/>
  <c r="E11" i="7"/>
  <c r="K7" i="4"/>
  <c r="D5" i="4"/>
  <c r="F5" i="4"/>
  <c r="Q7" i="4"/>
  <c r="D5" i="8" l="1"/>
  <c r="P5" i="4"/>
  <c r="P7" i="4"/>
  <c r="M7" i="4"/>
  <c r="P6" i="4"/>
  <c r="Y7" i="6" s="1"/>
  <c r="Y6" i="6"/>
  <c r="Q6" i="6"/>
  <c r="Q7" i="6"/>
  <c r="M6" i="4"/>
  <c r="P6" i="6"/>
  <c r="R6" i="6" s="1"/>
  <c r="P5" i="6"/>
  <c r="P7" i="6"/>
  <c r="R7" i="6" s="1"/>
  <c r="I7" i="6" s="1"/>
  <c r="Q5" i="6"/>
  <c r="M5" i="4"/>
  <c r="Y5" i="6" l="1"/>
  <c r="B7" i="8"/>
  <c r="E7" i="8" s="1"/>
  <c r="J5" i="2"/>
  <c r="J7" i="6"/>
  <c r="I6" i="6"/>
  <c r="R5" i="6"/>
  <c r="I5" i="6" s="1"/>
  <c r="B5" i="8" l="1"/>
  <c r="H5" i="2"/>
  <c r="J5" i="6"/>
  <c r="I5" i="2"/>
  <c r="B6" i="8"/>
  <c r="E6" i="8" s="1"/>
  <c r="J6" i="6"/>
  <c r="J6" i="2"/>
  <c r="F7" i="8"/>
  <c r="J7" i="2" s="1"/>
  <c r="H12" i="8" l="1"/>
  <c r="F6" i="8"/>
  <c r="I7" i="2" s="1"/>
  <c r="I6" i="2"/>
  <c r="E5" i="8"/>
  <c r="H11" i="8" l="1"/>
  <c r="F5" i="8"/>
  <c r="H7" i="2" s="1"/>
  <c r="H6" i="2"/>
  <c r="H10" i="8"/>
  <c r="I12" i="8"/>
  <c r="D10" i="2" s="1"/>
  <c r="D9" i="2"/>
  <c r="J12" i="8"/>
  <c r="B9" i="2" l="1"/>
  <c r="J10" i="8"/>
  <c r="I10" i="8"/>
  <c r="B10" i="2" s="1"/>
  <c r="B15" i="8"/>
  <c r="C9" i="2"/>
  <c r="I11" i="8"/>
  <c r="C10" i="2" s="1"/>
  <c r="J11" i="8" l="1"/>
  <c r="B16" i="2" s="1"/>
  <c r="B17" i="8"/>
  <c r="B17" i="2" s="1"/>
  <c r="Q46" i="13"/>
  <c r="B14" i="2"/>
  <c r="B16" i="8"/>
  <c r="B15" i="2" s="1"/>
  <c r="T46" i="13" l="1"/>
  <c r="U46" i="13" s="1"/>
  <c r="R46" i="13"/>
</calcChain>
</file>

<file path=xl/sharedStrings.xml><?xml version="1.0" encoding="utf-8"?>
<sst xmlns="http://schemas.openxmlformats.org/spreadsheetml/2006/main" count="1462" uniqueCount="598">
  <si>
    <t>SEO Territory Comparison Workbook</t>
  </si>
  <si>
    <t>A pre-budget decision workspace for bounded SEO/search territories. Start with the decision, not a keyword score.</t>
  </si>
  <si>
    <t>DIRECT ANSWER</t>
  </si>
  <si>
    <t>Define each territory as a commercial unit. Remove duplicates and non-additive overlap, expose prerequisites, separate gross from incremental opportunity, qualify the commercial path, then preserve dominance or a non-dominated frontier. Never fabricate a winner.</t>
  </si>
  <si>
    <t>Decision in scope</t>
  </si>
  <si>
    <t>Compare bounded SEO opportunity territories before budget commitment.</t>
  </si>
  <si>
    <t>PRIMARY WORKFLOW</t>
  </si>
  <si>
    <t>Territories</t>
  </si>
  <si>
    <t>3 fictional worked-example territories preloaded; edit in Territory Register.</t>
  </si>
  <si>
    <t>1</t>
  </si>
  <si>
    <t>Territory Register</t>
  </si>
  <si>
    <t>Define buyer, problem, offer, market, intent and outcome.</t>
  </si>
  <si>
    <t>Editable</t>
  </si>
  <si>
    <t>Comparability</t>
  </si>
  <si>
    <t>Structural relationship gate precedes dominance.</t>
  </si>
  <si>
    <t>2</t>
  </si>
  <si>
    <t>Boundary &amp; Scope</t>
  </si>
  <si>
    <t>Stop undefined/conflicted units.</t>
  </si>
  <si>
    <t>Editable state</t>
  </si>
  <si>
    <t>Current frontier</t>
  </si>
  <si>
    <t>See Frontier &amp; Stability. The example preserves trade-offs and a dependency.</t>
  </si>
  <si>
    <t>3</t>
  </si>
  <si>
    <t>Overlap &amp; Dependency</t>
  </si>
  <si>
    <t>Classify duplicates, overlap, prerequisites and cannibalization.</t>
  </si>
  <si>
    <t>Dependencies</t>
  </si>
  <si>
    <t>T-A depends on T-C in the fictional example.</t>
  </si>
  <si>
    <t>4</t>
  </si>
  <si>
    <t>Comparison Matrix</t>
  </si>
  <si>
    <t>Compare required dimensions without total scoring.</t>
  </si>
  <si>
    <t>Overlap</t>
  </si>
  <si>
    <t>No heavy overlap in the default example; relationship controls can change.</t>
  </si>
  <si>
    <t>5</t>
  </si>
  <si>
    <t>Frontier &amp; Stability</t>
  </si>
  <si>
    <t>Inspect pairwise result, frontier and evidence gaps.</t>
  </si>
  <si>
    <t>Formula output</t>
  </si>
  <si>
    <t>Primary evidence gap</t>
  </si>
  <si>
    <t>T-B current capture + qualified commercial action; T-C prerequisite evidence.</t>
  </si>
  <si>
    <t>6</t>
  </si>
  <si>
    <t>Scenario Review</t>
  </si>
  <si>
    <t>Change only explicit variables; preserve baseline.</t>
  </si>
  <si>
    <t>Review</t>
  </si>
  <si>
    <t>Next action</t>
  </si>
  <si>
    <t>Review Cockpit → Relationship Board → Matrix → Frontier → Record; then hand off to A41.</t>
  </si>
  <si>
    <t>7</t>
  </si>
  <si>
    <t>Comparison Records</t>
  </si>
  <si>
    <t>Carry the auditable comparison forward.</t>
  </si>
  <si>
    <t>Handoff</t>
  </si>
  <si>
    <t>EVIDENCE / NATIVE BOUNDARY</t>
  </si>
  <si>
    <t>Native Microsoft Excel</t>
  </si>
  <si>
    <t>DIRECT TESTING PENDING — exact workbook must open without repair, recalculate, save, close and freshly reopen in desktop Excel.</t>
  </si>
  <si>
    <t>Protection</t>
  </si>
  <si>
    <t>PROTECTION NOT CLAIMED. No raw OOXML protection patch is used.</t>
  </si>
  <si>
    <t>Workbook capacity</t>
  </si>
  <si>
    <t>3 live comparison territories (A/B/C); use the web workspace for 4-6.</t>
  </si>
  <si>
    <t>Territory Comparison Cockpit</t>
  </si>
  <si>
    <t>Main executive view: definition → commercial path → incrementality → relationships → comparison → frontier.</t>
  </si>
  <si>
    <t>Live workbook comparison capacity: 3 territories (A/B/C). Use the web workspace for 4-6 territories.</t>
  </si>
  <si>
    <t>Decision surface</t>
  </si>
  <si>
    <t>T-A</t>
  </si>
  <si>
    <t>T-B</t>
  </si>
  <si>
    <t>T-C</t>
  </si>
  <si>
    <t>Interpretation</t>
  </si>
  <si>
    <t>Pair state</t>
  </si>
  <si>
    <t>A ↔ B</t>
  </si>
  <si>
    <t>A ↔ C</t>
  </si>
  <si>
    <t>B ↔ C</t>
  </si>
  <si>
    <t>Territory name</t>
  </si>
  <si>
    <t>Do these describe separate commercial units?</t>
  </si>
  <si>
    <t>Structural state</t>
  </si>
  <si>
    <t>Boundary state</t>
  </si>
  <si>
    <t>Undefined/conflicted boundaries stop comparison.</t>
  </si>
  <si>
    <t>Pairwise result</t>
  </si>
  <si>
    <t>Evidence quality</t>
  </si>
  <si>
    <t>Evidence abundance does not replace scope fit.</t>
  </si>
  <si>
    <t>Reason</t>
  </si>
  <si>
    <t>Incremental state</t>
  </si>
  <si>
    <t>Gross demand is not incremental opportunity.</t>
  </si>
  <si>
    <t>Current interpretation</t>
  </si>
  <si>
    <t>Trade-off remains unless evidence changes required dimensions.</t>
  </si>
  <si>
    <t>Dependency blocks direct dominance.</t>
  </si>
  <si>
    <t>Frontier state</t>
  </si>
  <si>
    <t>Non-dominated is not a funding recommendation.</t>
  </si>
  <si>
    <t>Stability</t>
  </si>
  <si>
    <t>Show what evidence would change the comparison.</t>
  </si>
  <si>
    <t>Current portfolio output</t>
  </si>
  <si>
    <t>Why</t>
  </si>
  <si>
    <t>A41 handoff</t>
  </si>
  <si>
    <t>Define a bounded commercial territory. A keyword list alone is not a valid comparison unit.</t>
  </si>
  <si>
    <t>Territory ID</t>
  </si>
  <si>
    <t>Territory type</t>
  </si>
  <si>
    <t>Business model</t>
  </si>
  <si>
    <t>Target buyer</t>
  </si>
  <si>
    <t>Problem / JTBD</t>
  </si>
  <si>
    <t>Offer</t>
  </si>
  <si>
    <t>Market</t>
  </si>
  <si>
    <t>Geography</t>
  </si>
  <si>
    <t>Language</t>
  </si>
  <si>
    <t>Intent</t>
  </si>
  <si>
    <t>Query / topic / entity footprint</t>
  </si>
  <si>
    <t>Page / experience footprint</t>
  </si>
  <si>
    <t>SERP / AI environment</t>
  </si>
  <si>
    <t>Valuable action</t>
  </si>
  <si>
    <t>Commercial outcome</t>
  </si>
  <si>
    <t>Evidence horizon</t>
  </si>
  <si>
    <t>Decision horizon</t>
  </si>
  <si>
    <t>Evaluation-intent competitor comparison</t>
  </si>
  <si>
    <t>COMPARISON_ALTERNATIVE_TERRITORY</t>
  </si>
  <si>
    <t>B2B_SAAS</t>
  </si>
  <si>
    <t>Enterprise marketing leader</t>
  </si>
  <si>
    <t>Needs defensible competitor intelligence before a strategic decision</t>
  </si>
  <si>
    <t>Competitive Decision Intelligence service</t>
  </si>
  <si>
    <t>B2B SaaS decision intelligence</t>
  </si>
  <si>
    <t>United States</t>
  </si>
  <si>
    <t>English</t>
  </si>
  <si>
    <t>Commercial evaluation</t>
  </si>
  <si>
    <t>competitor intelligence consultant; competitor analysis service; decision intelligence consulting</t>
  </si>
  <si>
    <t>service + comparison pages</t>
  </si>
  <si>
    <t>Commercial SERPs include consultants, platforms and category pages</t>
  </si>
  <si>
    <t>Qualified consultation</t>
  </si>
  <si>
    <t>Qualified pipeline</t>
  </si>
  <si>
    <t>Current + trailing 12 months</t>
  </si>
  <si>
    <t>12 months</t>
  </si>
  <si>
    <t>Broad competitor-analysis education</t>
  </si>
  <si>
    <t>CONTENT_EDUCATION_TERRITORY</t>
  </si>
  <si>
    <t>Needs to understand competitor analysis methods</t>
  </si>
  <si>
    <t>Informational education</t>
  </si>
  <si>
    <t>competitor analysis; how to analyze competitors; competitive analysis framework</t>
  </si>
  <si>
    <t>learning centre</t>
  </si>
  <si>
    <t>High-volume informational SERPs include publishers and software vendors</t>
  </si>
  <si>
    <t>Progress to decision-support content</t>
  </si>
  <si>
    <t>Commercial-page technical recovery</t>
  </si>
  <si>
    <t>TECHNICAL_RECOVERY_TERRITORY</t>
  </si>
  <si>
    <t>Commercial pages are under-crawled or under-indexed</t>
  </si>
  <si>
    <t>existing commercial query footprint</t>
  </si>
  <si>
    <t>commercial service pages</t>
  </si>
  <si>
    <t>Reachability depends on confirmed crawl/indexation evidence</t>
  </si>
  <si>
    <t>Reach a usable commercial page</t>
  </si>
  <si>
    <t>Boundary state gates comparison. Preserve the unit before evaluating attractiveness.</t>
  </si>
  <si>
    <t>Name</t>
  </si>
  <si>
    <t>Buyer defined?</t>
  </si>
  <si>
    <t>Problem defined?</t>
  </si>
  <si>
    <t>Offer defined?</t>
  </si>
  <si>
    <t>Market defined?</t>
  </si>
  <si>
    <t>Geography defined?</t>
  </si>
  <si>
    <t>Language defined?</t>
  </si>
  <si>
    <t>Intent defined?</t>
  </si>
  <si>
    <t>Outcome defined?</t>
  </si>
  <si>
    <t>Decision horizon defined?</t>
  </si>
  <si>
    <t>In current scope?</t>
  </si>
  <si>
    <t>Signature summary</t>
  </si>
  <si>
    <t>Boundary note</t>
  </si>
  <si>
    <t>Boundary readiness</t>
  </si>
  <si>
    <t>Normalized signature helper</t>
  </si>
  <si>
    <t>YES</t>
  </si>
  <si>
    <t>DEFINED</t>
  </si>
  <si>
    <t>Commercial Path Evidence</t>
  </si>
  <si>
    <t>Qualify each link. Supporting and disconfirming evidence stay visible; contradictions are not averaged away.</t>
  </si>
  <si>
    <t>Discovery → buyer</t>
  </si>
  <si>
    <t>Buyer → problem</t>
  </si>
  <si>
    <t>Problem → offer</t>
  </si>
  <si>
    <t>Offer → valuable action</t>
  </si>
  <si>
    <t>Action → business outcome</t>
  </si>
  <si>
    <t>Contradiction state</t>
  </si>
  <si>
    <t>Gross demand</t>
  </si>
  <si>
    <t>Current capture</t>
  </si>
  <si>
    <t>Measured incremental opportunity</t>
  </si>
  <si>
    <t>Decision-changing evidence</t>
  </si>
  <si>
    <t>OBSERVED</t>
  </si>
  <si>
    <t>INFERRED</t>
  </si>
  <si>
    <t>SUFFICIENT_FOR_COMPARISON</t>
  </si>
  <si>
    <t>NONE</t>
  </si>
  <si>
    <t>PARTIALLY_MEASURED</t>
  </si>
  <si>
    <t>Add qualified pipeline evidence if dominance depends on the final action → outcome link.</t>
  </si>
  <si>
    <t>PARTIAL</t>
  </si>
  <si>
    <t>Segment CRM / paid-search / analytics evidence to test whether broad informational demand produces qualified commercial action.</t>
  </si>
  <si>
    <t>Verify the technical prerequisite with crawl/indexation evidence and measure recovered qualified reach.</t>
  </si>
  <si>
    <t>Pairwise structural relationships can block direct comparison or additive interpretation.</t>
  </si>
  <si>
    <t>Pair ID</t>
  </si>
  <si>
    <t>Territory A</t>
  </si>
  <si>
    <t>Territory B</t>
  </si>
  <si>
    <t>Pair label</t>
  </si>
  <si>
    <t>Identity relation</t>
  </si>
  <si>
    <t>Overlap state</t>
  </si>
  <si>
    <t>Dependency state</t>
  </si>
  <si>
    <t>Cannibalization state</t>
  </si>
  <si>
    <t>Structural result</t>
  </si>
  <si>
    <t>Why it matters</t>
  </si>
  <si>
    <t>Duplicate helper</t>
  </si>
  <si>
    <t>Overlap helper</t>
  </si>
  <si>
    <t>Dependency helper</t>
  </si>
  <si>
    <t>Unresolved helper</t>
  </si>
  <si>
    <t>Signature A</t>
  </si>
  <si>
    <t>Signature B</t>
  </si>
  <si>
    <t>Auto duplicate?</t>
  </si>
  <si>
    <t>Market same?</t>
  </si>
  <si>
    <t>Geography same?</t>
  </si>
  <si>
    <t>Language same?</t>
  </si>
  <si>
    <t>Horizon same?</t>
  </si>
  <si>
    <t>Business model same?</t>
  </si>
  <si>
    <t>Same context?</t>
  </si>
  <si>
    <t>Boundary usable?</t>
  </si>
  <si>
    <t>Cannibalization constraint?</t>
  </si>
  <si>
    <t>P-AB</t>
  </si>
  <si>
    <t>T-A ↔ T-B</t>
  </si>
  <si>
    <t>DISTINCT</t>
  </si>
  <si>
    <t>INDEPENDENT</t>
  </si>
  <si>
    <t>NO_MATERIAL_CONFLICT</t>
  </si>
  <si>
    <t>P-AC</t>
  </si>
  <si>
    <t>T-A ↔ T-C</t>
  </si>
  <si>
    <t>ADJACENT</t>
  </si>
  <si>
    <t>A_DEPENDS_ON_B</t>
  </si>
  <si>
    <t>COMPLEMENTARY_COVERAGE</t>
  </si>
  <si>
    <t>P-BC</t>
  </si>
  <si>
    <t>T-B ↔ T-C</t>
  </si>
  <si>
    <t>Audit helpers</t>
  </si>
  <si>
    <t>TRUE = duplicate</t>
  </si>
  <si>
    <t>TRUE = overlap/nesting</t>
  </si>
  <si>
    <t>TRUE = dependency</t>
  </si>
  <si>
    <t>TRUE = unresolved</t>
  </si>
  <si>
    <t>Material logic is visible</t>
  </si>
  <si>
    <t>No additive assumption</t>
  </si>
  <si>
    <t>Prerequisite preserved</t>
  </si>
  <si>
    <t>Fail-closed state</t>
  </si>
  <si>
    <t>Not scores</t>
  </si>
  <si>
    <t>Not percentages</t>
  </si>
  <si>
    <t>Not priority</t>
  </si>
  <si>
    <t>Not a winner</t>
  </si>
  <si>
    <t>Required dimension states are qualitative comparison states—not points. Unresolved is allowed.</t>
  </si>
  <si>
    <t>Required dimension</t>
  </si>
  <si>
    <t>Territory C</t>
  </si>
  <si>
    <t>A vs B</t>
  </si>
  <si>
    <t>A vs C</t>
  </si>
  <si>
    <t>B vs C</t>
  </si>
  <si>
    <t>A rank helper</t>
  </si>
  <si>
    <t>B rank helper</t>
  </si>
  <si>
    <t>C rank helper</t>
  </si>
  <si>
    <t>Target-buyer fit</t>
  </si>
  <si>
    <t>STRONG</t>
  </si>
  <si>
    <t>MODERATE</t>
  </si>
  <si>
    <t>Problem importance</t>
  </si>
  <si>
    <t>Offer fit</t>
  </si>
  <si>
    <t>Valuable-action credibility</t>
  </si>
  <si>
    <t>WEAK</t>
  </si>
  <si>
    <t>Commercial-outcome credibility</t>
  </si>
  <si>
    <t>Incremental opportunity</t>
  </si>
  <si>
    <t>Organic / AI reachability</t>
  </si>
  <si>
    <t>Strategic scope fit</t>
  </si>
  <si>
    <t>If no B_STRONGER and at least one A_STRONGER → A may dominate B after structural/evidence gates.</t>
  </si>
  <si>
    <t>1 = WEAK</t>
  </si>
  <si>
    <t>2 = MODERATE</t>
  </si>
  <si>
    <t>3 = STRONG</t>
  </si>
  <si>
    <t>Dependency currently blocks direct dominance.</t>
  </si>
  <si>
    <t>0 = invalid/unresolved</t>
  </si>
  <si>
    <t>Case-sensitive via FIND/LEN</t>
  </si>
  <si>
    <t>NBSP/outer spaces normalized</t>
  </si>
  <si>
    <t>If no C_STRONGER and at least one B_STRONGER → B may dominate C after gates.</t>
  </si>
  <si>
    <t>Purpose</t>
  </si>
  <si>
    <t>Shorten formulas</t>
  </si>
  <si>
    <t>Preserve fail-closed behavior</t>
  </si>
  <si>
    <t>Rule</t>
  </si>
  <si>
    <t>No aggregate score. A required weakness cannot be compensated by unrelated volume.</t>
  </si>
  <si>
    <t>Not a score</t>
  </si>
  <si>
    <t>Ranks compare one dimension only</t>
  </si>
  <si>
    <t>No dimensions are summed</t>
  </si>
  <si>
    <t>Pairwise structural gates first; dominance second; frontier and evidence gaps remain visible.</t>
  </si>
  <si>
    <t>Pair</t>
  </si>
  <si>
    <t>Evidence block?</t>
  </si>
  <si>
    <t>Dimension relation</t>
  </si>
  <si>
    <t>Territory</t>
  </si>
  <si>
    <t>Current portfolio</t>
  </si>
  <si>
    <t>Portfolio output</t>
  </si>
  <si>
    <t>Duplicate the baseline logically: change only explicit variables and preserve the baseline record.</t>
  </si>
  <si>
    <t>Scenario</t>
  </si>
  <si>
    <t>Variable changed</t>
  </si>
  <si>
    <t>Baseline</t>
  </si>
  <si>
    <t>Scenario value</t>
  </si>
  <si>
    <t>Pair / territory affected</t>
  </si>
  <si>
    <t>Baseline result</t>
  </si>
  <si>
    <t>Scenario result</t>
  </si>
  <si>
    <t>None</t>
  </si>
  <si>
    <t>Current workbook state</t>
  </si>
  <si>
    <t>No change</t>
  </si>
  <si>
    <t>Portfolio</t>
  </si>
  <si>
    <t>NON_DOMINATED_FRONTIER</t>
  </si>
  <si>
    <t>Reference state; do not overwrite silently.</t>
  </si>
  <si>
    <t>First-party evidence improves</t>
  </si>
  <si>
    <t>T-B evidence quality</t>
  </si>
  <si>
    <t>Recalculate after evidence entry</t>
  </si>
  <si>
    <t>Only evidence/commercial-path variables should change.</t>
  </si>
  <si>
    <t>Reachability weakens</t>
  </si>
  <si>
    <t>T-A reachability</t>
  </si>
  <si>
    <t>Recalculate after matrix change</t>
  </si>
  <si>
    <t>Gross demand does not repair reachability.</t>
  </si>
  <si>
    <t>Dependency resolved</t>
  </si>
  <si>
    <t>T-A ↔ T-C dependency</t>
  </si>
  <si>
    <t>DEPENDENT</t>
  </si>
  <si>
    <t>Recalculate after relationship change</t>
  </si>
  <si>
    <t>Direct comparison becomes possible only after prerequisite evidence supports resolution.</t>
  </si>
  <si>
    <t>Current capture higher</t>
  </si>
  <si>
    <t>T-B current capture</t>
  </si>
  <si>
    <t>NOT MEASURED</t>
  </si>
  <si>
    <t>Measured higher capture</t>
  </si>
  <si>
    <t>Re-evaluate incremental state</t>
  </si>
  <si>
    <t>Higher current capture cannot increase incremental opportunity.</t>
  </si>
  <si>
    <t>Commercial action contradicted</t>
  </si>
  <si>
    <t>T-B offer → action</t>
  </si>
  <si>
    <t>CONTRADICTED</t>
  </si>
  <si>
    <t>UNRESOLVED</t>
  </si>
  <si>
    <t>Visibility cannot manufacture commercial qualification.</t>
  </si>
  <si>
    <t>Portable audit record. Preserve method, structural state and unsupported uses.</t>
  </si>
  <si>
    <t>Record ID</t>
  </si>
  <si>
    <t>Timestamp</t>
  </si>
  <si>
    <t>Method version</t>
  </si>
  <si>
    <t>Decision</t>
  </si>
  <si>
    <t>Scope</t>
  </si>
  <si>
    <t>Signatures captured?</t>
  </si>
  <si>
    <t>Structural relations captured?</t>
  </si>
  <si>
    <t>Frontier</t>
  </si>
  <si>
    <t>Handoff / unsupported use</t>
  </si>
  <si>
    <t>REC-EXAMPLE-001</t>
  </si>
  <si>
    <t>Example only</t>
  </si>
  <si>
    <t>SEO Territory Comparison Protocol v1.0.0</t>
  </si>
  <si>
    <t>Compare bounded SEO territories before budget commitment.</t>
  </si>
  <si>
    <t>US / English / B2B SaaS / 12 months</t>
  </si>
  <si>
    <t>T-A; T-B; T-C</t>
  </si>
  <si>
    <t>Trade-offs + dependency</t>
  </si>
  <si>
    <t>T-B currently non-dominated; A/C dependency constrained</t>
  </si>
  <si>
    <t>STRUCTURALLY_UNRESOLVED</t>
  </si>
  <si>
    <t>A41 consumes the record. No budget %, execution sequence, causal ROI forecast or funding state is assigned here.</t>
  </si>
  <si>
    <t>Worked Examples</t>
  </si>
  <si>
    <t>Fictional decision examples. These illustrate method behavior, not client outcomes or market forecasts.</t>
  </si>
  <si>
    <t>Structural issue</t>
  </si>
  <si>
    <t>Valid interpretation</t>
  </si>
  <si>
    <t>Evidence that matters</t>
  </si>
  <si>
    <t>Do not infer</t>
  </si>
  <si>
    <t>B2B SaaS</t>
  </si>
  <si>
    <t>Evaluation-intent comparison</t>
  </si>
  <si>
    <t>Broad education</t>
  </si>
  <si>
    <t>Technical recovery</t>
  </si>
  <si>
    <t>Technical recovery enables commercial reach</t>
  </si>
  <si>
    <t>Dependency may block A ↔ C; A ↔ B can preserve trade-offs</t>
  </si>
  <si>
    <t>CRM qualification; crawl/indexation; current capture</t>
  </si>
  <si>
    <t>Largest volume = best investment</t>
  </si>
  <si>
    <t>Ecommerce</t>
  </si>
  <si>
    <t>Broad category expansion</t>
  </si>
  <si>
    <t>High-margin subcategory</t>
  </si>
  <si>
    <t>Existing-category recovery</t>
  </si>
  <si>
    <t>Margin, inventory and capture differ</t>
  </si>
  <si>
    <t>Gross demand and incremental commercial value can diverge</t>
  </si>
  <si>
    <t>Margin; inventory; conversion; organic capture</t>
  </si>
  <si>
    <t>Search demand = contribution margin</t>
  </si>
  <si>
    <t>Local / service</t>
  </si>
  <si>
    <t>National education</t>
  </si>
  <si>
    <t>Three-city booking territory</t>
  </si>
  <si>
    <t>Geography/outcome incompatibility</t>
  </si>
  <si>
    <t>NOT_COMPARABLE can be correct</t>
  </si>
  <si>
    <t>Local booking quality; city demand; service capacity</t>
  </si>
  <si>
    <t>National reach = local booking value</t>
  </si>
  <si>
    <t>Enterprise</t>
  </si>
  <si>
    <t>Broad category education</t>
  </si>
  <si>
    <t>Buyer-specific problem territory</t>
  </si>
  <si>
    <t>Buyer concentration vs broad reach</t>
  </si>
  <si>
    <t>Both may remain non-dominated</t>
  </si>
  <si>
    <t>Buying-role engagement; sales qualification; pipeline influence</t>
  </si>
  <si>
    <t>Reach alone resolves the trade-off</t>
  </si>
  <si>
    <t>AI / answer engine</t>
  </si>
  <si>
    <t>AI mention gap</t>
  </si>
  <si>
    <t>Commercial-evaluation citation territory</t>
  </si>
  <si>
    <t>Visibility unit differs from commercial path</t>
  </si>
  <si>
    <t>Mention count alone cannot qualify a territory</t>
  </si>
  <si>
    <t>Referral/action evidence; commercial discovery path</t>
  </si>
  <si>
    <t>More mentions = more revenue</t>
  </si>
  <si>
    <t>Controlled Definitions</t>
  </si>
  <si>
    <t>Canonical tokens used by the web engine and workbook. Plain-English labels appear on reader-facing surfaces.</t>
  </si>
  <si>
    <t>Territory Type</t>
  </si>
  <si>
    <t>Business Model</t>
  </si>
  <si>
    <t>Boundary</t>
  </si>
  <si>
    <t>Identity</t>
  </si>
  <si>
    <t>Dependency</t>
  </si>
  <si>
    <t>Cannibalization</t>
  </si>
  <si>
    <t>Evidence Link</t>
  </si>
  <si>
    <t>Evidence Quality</t>
  </si>
  <si>
    <t>Contradiction</t>
  </si>
  <si>
    <t>Incremental State</t>
  </si>
  <si>
    <t>Dimension state</t>
  </si>
  <si>
    <t>Rank helper</t>
  </si>
  <si>
    <t>NEW_DEMAND_TERRITORY</t>
  </si>
  <si>
    <t>TRUE_CANNIBALIZATION</t>
  </si>
  <si>
    <t>MEASURED</t>
  </si>
  <si>
    <t>EXISTING_PAGE_GROWTH_TERRITORY</t>
  </si>
  <si>
    <t>ECOMMERCE</t>
  </si>
  <si>
    <t>PARTIALLY_DEFINED</t>
  </si>
  <si>
    <t>PARTIAL_SUBSTITUTION</t>
  </si>
  <si>
    <t>IMMATERIAL</t>
  </si>
  <si>
    <t>COMMERCIAL_CATEGORY_TERRITORY</t>
  </si>
  <si>
    <t>LOCAL_SERVICE</t>
  </si>
  <si>
    <t>BOUNDARY_CONFLICT</t>
  </si>
  <si>
    <t>PARTIAL_DUPLICATE</t>
  </si>
  <si>
    <t>PARTIAL_OVERLAP</t>
  </si>
  <si>
    <t>B_DEPENDS_ON_A</t>
  </si>
  <si>
    <t>MATERIAL_GAP</t>
  </si>
  <si>
    <t>RESOLVED</t>
  </si>
  <si>
    <t>LEAD_GENERATION</t>
  </si>
  <si>
    <t>NOT_DEFINED</t>
  </si>
  <si>
    <t>FUNCTIONAL_DUPLICATE</t>
  </si>
  <si>
    <t>HEAVY_OVERLAP</t>
  </si>
  <si>
    <t>SHARED_PREREQUISITE</t>
  </si>
  <si>
    <t>MATERIAL_UNRESOLVED</t>
  </si>
  <si>
    <t>ENTERPRISE</t>
  </si>
  <si>
    <t>NESTED_CHILD</t>
  </si>
  <si>
    <t>NESTED</t>
  </si>
  <si>
    <t>MUTUAL_DEPENDENCY</t>
  </si>
  <si>
    <t>LOCAL_GEO_TERRITORY</t>
  </si>
  <si>
    <t>AI_ANSWER_ENGINE</t>
  </si>
  <si>
    <t>NESTED_PARENT</t>
  </si>
  <si>
    <t>DUPLICATE</t>
  </si>
  <si>
    <t>DEPENDENCY_UNRESOLVED</t>
  </si>
  <si>
    <t>AUTHORITY_TERRITORY</t>
  </si>
  <si>
    <t>PRODUCT_SERVICE_TERRITORY</t>
  </si>
  <si>
    <t>ENTITY_TOPIC_AUTHORITY_TERRITORY</t>
  </si>
  <si>
    <t>AI_CITATION_TERRITORY</t>
  </si>
  <si>
    <t>AI_MENTION_VISIBILITY_TERRITORY</t>
  </si>
  <si>
    <t>Canonical Fixtures</t>
  </si>
  <si>
    <t>Actual Outcome and Actual Reason are formulas. Wrong-case and NBSP fixtures test normalization / fail-closed behavior.</t>
  </si>
  <si>
    <t>Fixture ID</t>
  </si>
  <si>
    <t>Description</t>
  </si>
  <si>
    <t>Excel?</t>
  </si>
  <si>
    <t>Boundary A</t>
  </si>
  <si>
    <t>Boundary B</t>
  </si>
  <si>
    <t>Same signature?</t>
  </si>
  <si>
    <t>A ≥ B all dims?</t>
  </si>
  <si>
    <t>A better?</t>
  </si>
  <si>
    <t>B ≥ A all dims?</t>
  </si>
  <si>
    <t>B better?</t>
  </si>
  <si>
    <t>Expected outcome</t>
  </si>
  <si>
    <t>Workbook actual outcome</t>
  </si>
  <si>
    <t>Outcome PASS</t>
  </si>
  <si>
    <t>Expected reason</t>
  </si>
  <si>
    <t>Workbook actual reason</t>
  </si>
  <si>
    <t>Reason PASS</t>
  </si>
  <si>
    <t>Boundary A valid</t>
  </si>
  <si>
    <t>Boundary B valid</t>
  </si>
  <si>
    <t>Same signature</t>
  </si>
  <si>
    <t>Duplicate relation</t>
  </si>
  <si>
    <t>Overlap / nesting</t>
  </si>
  <si>
    <t>Dependency present</t>
  </si>
  <si>
    <t>Same context</t>
  </si>
  <si>
    <t>Evidence block</t>
  </si>
  <si>
    <t>A dominance</t>
  </si>
  <si>
    <t>B dominance</t>
  </si>
  <si>
    <t>Cannibalization unresolved helper</t>
  </si>
  <si>
    <t>Numeric probe</t>
  </si>
  <si>
    <t>FX01</t>
  </si>
  <si>
    <t>Positive control: A dominates B</t>
  </si>
  <si>
    <t>NO</t>
  </si>
  <si>
    <t>A_DOMINATES_B</t>
  </si>
  <si>
    <t>A_DOMINANCE</t>
  </si>
  <si>
    <t>FX02</t>
  </si>
  <si>
    <t>Reverse dominance: B dominates A</t>
  </si>
  <si>
    <t>B_DOMINATES_A</t>
  </si>
  <si>
    <t>B_DOMINANCE</t>
  </si>
  <si>
    <t>FX03</t>
  </si>
  <si>
    <t>Neutral control: trade-offs remain</t>
  </si>
  <si>
    <t>TRADE_OFFS_REMAIN</t>
  </si>
  <si>
    <t>TRADE_OFFS</t>
  </si>
  <si>
    <t>FX04</t>
  </si>
  <si>
    <t>Invalid boundary A</t>
  </si>
  <si>
    <t>NOT_COMPARABLE</t>
  </si>
  <si>
    <t>INVALID_BOUNDARY</t>
  </si>
  <si>
    <t>FX05</t>
  </si>
  <si>
    <t>Boundary conflict B</t>
  </si>
  <si>
    <t>FX06</t>
  </si>
  <si>
    <t>Duplicate semantic signature</t>
  </si>
  <si>
    <t>DUPLICATE_SIGNATURE</t>
  </si>
  <si>
    <t>FX07</t>
  </si>
  <si>
    <t>Functional duplicate relation</t>
  </si>
  <si>
    <t>DUPLICATE_RELATION</t>
  </si>
  <si>
    <t>FX08</t>
  </si>
  <si>
    <t>Overlap duplicate relation</t>
  </si>
  <si>
    <t>FX09</t>
  </si>
  <si>
    <t>Nested child</t>
  </si>
  <si>
    <t>OVERLAPPING</t>
  </si>
  <si>
    <t>OVERLAP_NESTING</t>
  </si>
  <si>
    <t>FX10</t>
  </si>
  <si>
    <t>Nested overlap</t>
  </si>
  <si>
    <t>FX11</t>
  </si>
  <si>
    <t>Heavy overlap</t>
  </si>
  <si>
    <t>FX12</t>
  </si>
  <si>
    <t>Partial duplicate</t>
  </si>
  <si>
    <t>FX13</t>
  </si>
  <si>
    <t>Partial overlap</t>
  </si>
  <si>
    <t>FX14</t>
  </si>
  <si>
    <t>Dependency control A depends on B</t>
  </si>
  <si>
    <t>DEPENDENCY</t>
  </si>
  <si>
    <t>FX15</t>
  </si>
  <si>
    <t>Shared prerequisite</t>
  </si>
  <si>
    <t>FX16</t>
  </si>
  <si>
    <t>Mutual dependency</t>
  </si>
  <si>
    <t>FX17</t>
  </si>
  <si>
    <t>Different context</t>
  </si>
  <si>
    <t>INCOMPATIBLE_CONTEXT</t>
  </si>
  <si>
    <t>FX18</t>
  </si>
  <si>
    <t>Evidence block prevents dominance</t>
  </si>
  <si>
    <t>EVIDENCE_BLOCK</t>
  </si>
  <si>
    <t>FX19</t>
  </si>
  <si>
    <t>No material advantage either way</t>
  </si>
  <si>
    <t>FX20</t>
  </si>
  <si>
    <t>A not at least as strong</t>
  </si>
  <si>
    <t>FX21</t>
  </si>
  <si>
    <t>Wrong-case boundary fails closed</t>
  </si>
  <si>
    <t>defined</t>
  </si>
  <si>
    <t>FX22</t>
  </si>
  <si>
    <t>NBSP padding normalizes</t>
  </si>
  <si>
    <t> DEFINED </t>
  </si>
  <si>
    <t>FX23</t>
  </si>
  <si>
    <t>Parent relation blocks additive comparison</t>
  </si>
  <si>
    <t>FX24</t>
  </si>
  <si>
    <t>Dependency cannot be repaired by volume</t>
  </si>
  <si>
    <t>FX25</t>
  </si>
  <si>
    <t>Evidence block with trade-off inputs</t>
  </si>
  <si>
    <t>FX26</t>
  </si>
  <si>
    <t>Different context cannot fabricate winner</t>
  </si>
  <si>
    <t>FX27</t>
  </si>
  <si>
    <t>Cannibalization recorded: true cannibalization does not itself manufacture a winner</t>
  </si>
  <si>
    <t>FX28</t>
  </si>
  <si>
    <t>Complementary coverage remains structurally comparable</t>
  </si>
  <si>
    <t>FX29</t>
  </si>
  <si>
    <t>Existing capture cannot create dominance by itself</t>
  </si>
  <si>
    <t>FX30</t>
  </si>
  <si>
    <t>Incremental opportunity unresolved blocks dominance</t>
  </si>
  <si>
    <t>FX31</t>
  </si>
  <si>
    <t>Outside geography is not a valid direct comparison</t>
  </si>
  <si>
    <t>FX32</t>
  </si>
  <si>
    <t>Buyer mismatch cannot be rescued by apparent size</t>
  </si>
  <si>
    <t>FX33</t>
  </si>
  <si>
    <t>Offer mismatch cannot be rescued by apparent size</t>
  </si>
  <si>
    <t>FX34</t>
  </si>
  <si>
    <t>Weak reachability remains a required-dimension disadvantage</t>
  </si>
  <si>
    <t>FX35</t>
  </si>
  <si>
    <t>Commercial-path contradiction blocks dominance</t>
  </si>
  <si>
    <t>FX36</t>
  </si>
  <si>
    <t>First-party contradiction remains unresolved rather than averaged</t>
  </si>
  <si>
    <t>FX37</t>
  </si>
  <si>
    <t>Different granularity prevents a direct comparison</t>
  </si>
  <si>
    <t>FX38</t>
  </si>
  <si>
    <t>Different decision horizon prevents a direct comparison</t>
  </si>
  <si>
    <t>FX39</t>
  </si>
  <si>
    <t>AI visibility territory vs classic SEO territory can be not comparable</t>
  </si>
  <si>
    <t>FX40</t>
  </si>
  <si>
    <t>Technical and content territories can be comparable when context is compatible</t>
  </si>
  <si>
    <t>FX41</t>
  </si>
  <si>
    <t>Technical recovery enables content: dependency prevents direct dominance</t>
  </si>
  <si>
    <t>FX42</t>
  </si>
  <si>
    <t>Valid three-territory portfolio comparison</t>
  </si>
  <si>
    <t>PORTFOLIO_VALID</t>
  </si>
  <si>
    <t>FX43</t>
  </si>
  <si>
    <t>Invalid numeric cell type fails the numeric type check</t>
  </si>
  <si>
    <t>INVALID_NUMERIC</t>
  </si>
  <si>
    <t>NUMERIC_TYPE_CHECK</t>
  </si>
  <si>
    <t>not-a-number</t>
  </si>
  <si>
    <t>FX44</t>
  </si>
  <si>
    <t>Unsupported JavaScript object/array scalar input</t>
  </si>
  <si>
    <t>N/A</t>
  </si>
  <si>
    <t>JS_NON_CELL_NA</t>
  </si>
  <si>
    <t>FX45</t>
  </si>
  <si>
    <t>Territory-order permutation invariant</t>
  </si>
  <si>
    <t>JS_METAMORPHIC_NA</t>
  </si>
  <si>
    <t>FX46</t>
  </si>
  <si>
    <t>Pairwise symmetry invariant</t>
  </si>
  <si>
    <t>Method Notes</t>
  </si>
  <si>
    <t>Scope, evidence boundaries and native reliability status.</t>
  </si>
  <si>
    <t>Defensible pre-budget comparison of bounded SEO/search opportunity territories.</t>
  </si>
  <si>
    <t>Not a weighted score</t>
  </si>
  <si>
    <t>Dominance uses non-compensating required dimensions. Trade-offs may remain.</t>
  </si>
  <si>
    <t>Not a funding state</t>
  </si>
  <si>
    <t>Fund / Prepare / Defer / Ignore belongs to the next decision stage.</t>
  </si>
  <si>
    <t>Gross vs incremental</t>
  </si>
  <si>
    <t>Gross demand is not automatically incremental reachable opportunity. Numeric inputs remain optional and must be measured to be treated as measured.</t>
  </si>
  <si>
    <t>Evidence rule</t>
  </si>
  <si>
    <t>Commercial-path links are OBSERVED / INFERRED / UNRESOLVED / CONTRADICTED. Contradictory evidence is not averaged away.</t>
  </si>
  <si>
    <t>Privacy</t>
  </si>
  <si>
    <t>Workbook is local/offline. No network request is created by this workbook.</t>
  </si>
  <si>
    <t>PROTECTION NOT CLAIMED. The build prioritizes native serialization reliability over fabricated protection metadata.</t>
  </si>
  <si>
    <t>DIRECT TESTING PENDING. Static OOXML checks cannot prove native Excel acceptance.</t>
  </si>
  <si>
    <t>Unsupported use</t>
  </si>
  <si>
    <t>No budget percentage, causal ROI guarantee, execution sequence, reversal condition or post-investment continuation decision.</t>
  </si>
  <si>
    <t>Formula design</t>
  </si>
  <si>
    <t>Short IF/AND/OR/NOT/EXACT/LEN/TRIM/SUBSTITUTE/CHAR/COUNTIF/FIND plus direct text comparisons. No REGEXTEST, LET, LAMBDA, dynamic arrays, _xlfn or external links intended.</t>
  </si>
  <si>
    <t>Case-sensitive controlled comparisons use EXACT or the established exact-token pattern; NBSP is handled deliberately where normalization is allowed.</t>
  </si>
  <si>
    <t>Live semantic parity</t>
  </si>
  <si>
    <t>Market, geography, language, decision horizon and business model are derived from the live Territory Register before pairwise comparison. Normalized semantic signatures include Language and auto-detect duplicate A/B/C territories.</t>
  </si>
  <si>
    <t>Fixture-engine parity is necessary but separate from live-sheet wiring tests.</t>
  </si>
  <si>
    <t>Executive output</t>
  </si>
  <si>
    <t>Cockpit and Frontier headline output, interpretation, evidence gap and A41 handoff are formula-linked to the live comparison state.</t>
  </si>
  <si>
    <t>The executive surface must not remain stale when territory context or relationships change.</t>
  </si>
  <si>
    <t>Capacity</t>
  </si>
  <si>
    <t>This workbook analyzes three live territories (A/B/C) at once. The web Territory Comparison Workspace supports 4-6 for broader portfolios.</t>
  </si>
  <si>
    <t>The capacity difference is explicit rather than implied parity.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</si>
</sst>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Carlito"/>
    </font>
    <font>
      <b/>
      <sz val="18"/>
      <color rgb="FFE9F2F7"/>
      <name val="Carlito"/>
    </font>
    <font>
      <sz val="10"/>
      <color rgb="FFA7BBC9"/>
      <name val="Carlito"/>
    </font>
    <font>
      <b/>
      <sz val="11"/>
      <color rgb="FF39D9E6"/>
      <name val="Carlito"/>
    </font>
    <font>
      <sz val="11"/>
      <color rgb="FFE9F2F7"/>
      <name val="Carlito"/>
    </font>
    <font>
      <sz val="10"/>
      <color rgb="FFE9F2F7"/>
      <name val="Carlito"/>
    </font>
    <font>
      <i/>
      <sz val="10"/>
      <color rgb="FFE9F2F7"/>
      <name val="Carlito"/>
    </font>
    <font>
      <b/>
      <sz val="10"/>
      <color rgb="FF39D9E6"/>
      <name val="Carlito"/>
    </font>
    <font>
      <i/>
      <sz val="10"/>
      <color rgb="FFA7BBC9"/>
      <name val="Carlito"/>
    </font>
    <font>
      <sz val="9"/>
      <color rgb="FFA7BBC9"/>
      <name val="Carlito"/>
    </font>
    <font>
      <i/>
      <sz val="9"/>
      <color rgb="FFA7BBC9"/>
      <name val="Carlito"/>
    </font>
    <font>
      <sz val="8"/>
      <color rgb="FFE9F2F7"/>
      <name val="Carlito"/>
    </font>
    <font>
      <sz val="8"/>
      <name val="Carlito"/>
    </font>
    <font>
      <b/>
      <i/>
      <sz val="12"/>
      <color rgb="FFF4C15D"/>
      <name val="Carlito"/>
    </font>
    <font>
      <i/>
      <sz val="10"/>
      <color rgb="FFE8F1F5"/>
      <name val="Carlito"/>
    </font>
    <font>
      <b/>
      <i/>
      <sz val="11"/>
      <color rgb="FFF4C15D"/>
      <name val="Carlito"/>
    </font>
  </fonts>
  <fills count="7">
    <fill>
      <patternFill patternType="none"/>
    </fill>
    <fill>
      <patternFill patternType="gray125"/>
    </fill>
    <fill>
      <patternFill patternType="solid">
        <fgColor rgb="FF04101A"/>
      </patternFill>
    </fill>
    <fill>
      <patternFill patternType="solid">
        <fgColor rgb="FF0B1A27"/>
      </patternFill>
    </fill>
    <fill>
      <patternFill patternType="solid">
        <fgColor rgb="FF102535"/>
      </patternFill>
    </fill>
    <fill>
      <patternFill patternType="solid">
        <fgColor rgb="FF07131E"/>
      </patternFill>
    </fill>
    <fill>
      <patternFill patternType="solid">
        <fgColor rgb="FF1025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4" borderId="0" xfId="0" applyFont="1" applyFill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6" fillId="5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7" fillId="4" borderId="0" xfId="0" applyFont="1" applyFill="1" applyAlignment="1">
      <alignment vertical="top" wrapText="1"/>
    </xf>
    <xf numFmtId="0" fontId="7" fillId="4" borderId="0" xfId="0" applyFont="1" applyFill="1" applyAlignment="1">
      <alignment vertical="center" wrapText="1"/>
    </xf>
    <xf numFmtId="0" fontId="8" fillId="2" borderId="0" xfId="0" applyFont="1" applyFill="1" applyAlignment="1">
      <alignment vertical="top" wrapText="1"/>
    </xf>
    <xf numFmtId="0" fontId="9" fillId="5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3" fillId="6" borderId="0" xfId="0" applyFont="1" applyFill="1" applyAlignment="1">
      <alignment vertical="center" wrapText="1"/>
    </xf>
    <xf numFmtId="0" fontId="11" fillId="5" borderId="0" xfId="0" applyFont="1" applyFill="1" applyAlignment="1">
      <alignment vertical="top" wrapText="1"/>
    </xf>
    <xf numFmtId="0" fontId="12" fillId="0" borderId="0" xfId="0" applyFont="1"/>
    <xf numFmtId="0" fontId="13" fillId="2" borderId="0" xfId="0" applyFont="1" applyFill="1" applyAlignment="1">
      <alignment vertical="top" wrapText="1"/>
    </xf>
    <xf numFmtId="0" fontId="14" fillId="2" borderId="0" xfId="0" applyFont="1" applyFill="1" applyAlignment="1">
      <alignment vertical="top" wrapText="1"/>
    </xf>
    <xf numFmtId="0" fontId="15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0"/>
  <sheetViews>
    <sheetView tabSelected="1" workbookViewId="0"/>
  </sheetViews>
  <sheetFormatPr defaultRowHeight="14.25"/>
  <cols>
    <col min="1" max="1" width="34" customWidth="1"/>
    <col min="2" max="2" width="52" customWidth="1"/>
    <col min="3" max="3" width="4" customWidth="1"/>
    <col min="4" max="4" width="9" customWidth="1"/>
    <col min="5" max="5" width="34" customWidth="1"/>
    <col min="6" max="6" width="54" customWidth="1"/>
    <col min="7" max="7" width="22" customWidth="1"/>
    <col min="8" max="8" width="8" customWidth="1"/>
  </cols>
  <sheetData>
    <row r="1" spans="1:21" ht="42" customHeight="1">
      <c r="A1" s="5" t="s">
        <v>0</v>
      </c>
      <c r="B1" s="5"/>
      <c r="C1" s="5"/>
      <c r="D1" s="5"/>
      <c r="E1" s="5"/>
      <c r="F1" s="5"/>
      <c r="G1" s="5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44.1" customHeight="1">
      <c r="A2" s="6" t="s">
        <v>1</v>
      </c>
      <c r="B2" s="6"/>
      <c r="C2" s="6"/>
      <c r="D2" s="6"/>
      <c r="E2" s="6"/>
      <c r="F2" s="6"/>
      <c r="G2" s="6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8" t="s">
        <v>2</v>
      </c>
      <c r="B4" s="8"/>
      <c r="C4" s="8"/>
      <c r="D4" s="8"/>
      <c r="E4" s="8"/>
      <c r="F4" s="8"/>
      <c r="G4" s="8"/>
      <c r="H4" s="8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93.95" customHeight="1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38.25">
      <c r="A8" s="8" t="s">
        <v>4</v>
      </c>
      <c r="B8" s="3" t="s">
        <v>5</v>
      </c>
      <c r="C8" s="3"/>
      <c r="D8" s="8" t="s">
        <v>6</v>
      </c>
      <c r="E8" s="8"/>
      <c r="F8" s="8"/>
      <c r="G8" s="8"/>
      <c r="H8" s="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5.5">
      <c r="A9" s="8" t="s">
        <v>7</v>
      </c>
      <c r="B9" s="3" t="s">
        <v>8</v>
      </c>
      <c r="C9" s="3"/>
      <c r="D9" s="3" t="s">
        <v>9</v>
      </c>
      <c r="E9" s="3" t="s">
        <v>10</v>
      </c>
      <c r="F9" s="3" t="s">
        <v>11</v>
      </c>
      <c r="G9" s="3" t="s">
        <v>12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8" t="s">
        <v>13</v>
      </c>
      <c r="B10" s="3" t="s">
        <v>14</v>
      </c>
      <c r="C10" s="3"/>
      <c r="D10" s="3" t="s">
        <v>15</v>
      </c>
      <c r="E10" s="3" t="s">
        <v>16</v>
      </c>
      <c r="F10" s="3" t="s">
        <v>17</v>
      </c>
      <c r="G10" s="3" t="s">
        <v>18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25.5">
      <c r="A11" s="8" t="s">
        <v>19</v>
      </c>
      <c r="B11" s="3" t="s">
        <v>20</v>
      </c>
      <c r="C11" s="3"/>
      <c r="D11" s="3" t="s">
        <v>21</v>
      </c>
      <c r="E11" s="3" t="s">
        <v>22</v>
      </c>
      <c r="F11" s="3" t="s">
        <v>23</v>
      </c>
      <c r="G11" s="3" t="s">
        <v>12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8" t="s">
        <v>24</v>
      </c>
      <c r="B12" s="3" t="s">
        <v>25</v>
      </c>
      <c r="C12" s="3"/>
      <c r="D12" s="3" t="s">
        <v>26</v>
      </c>
      <c r="E12" s="3" t="s">
        <v>27</v>
      </c>
      <c r="F12" s="3" t="s">
        <v>28</v>
      </c>
      <c r="G12" s="3" t="s">
        <v>12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5.5">
      <c r="A13" s="8" t="s">
        <v>29</v>
      </c>
      <c r="B13" s="3" t="s">
        <v>30</v>
      </c>
      <c r="C13" s="3"/>
      <c r="D13" s="3" t="s">
        <v>31</v>
      </c>
      <c r="E13" s="3" t="s">
        <v>32</v>
      </c>
      <c r="F13" s="3" t="s">
        <v>33</v>
      </c>
      <c r="G13" s="3" t="s">
        <v>34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5.5">
      <c r="A14" s="8" t="s">
        <v>35</v>
      </c>
      <c r="B14" s="3" t="s">
        <v>36</v>
      </c>
      <c r="C14" s="3"/>
      <c r="D14" s="3" t="s">
        <v>37</v>
      </c>
      <c r="E14" s="3" t="s">
        <v>38</v>
      </c>
      <c r="F14" s="3" t="s">
        <v>39</v>
      </c>
      <c r="G14" s="3" t="s">
        <v>40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25.5">
      <c r="A15" s="8" t="s">
        <v>41</v>
      </c>
      <c r="B15" s="3" t="s">
        <v>42</v>
      </c>
      <c r="C15" s="3"/>
      <c r="D15" s="3" t="s">
        <v>43</v>
      </c>
      <c r="E15" s="3" t="s">
        <v>44</v>
      </c>
      <c r="F15" s="3" t="s">
        <v>45</v>
      </c>
      <c r="G15" s="3" t="s">
        <v>46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8" t="s">
        <v>47</v>
      </c>
      <c r="B17" s="8"/>
      <c r="C17" s="8"/>
      <c r="D17" s="8"/>
      <c r="E17" s="8"/>
      <c r="F17" s="8"/>
      <c r="G17" s="8"/>
      <c r="H17" s="8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25.5">
      <c r="A18" s="4" t="s">
        <v>48</v>
      </c>
      <c r="B18" s="4" t="s">
        <v>49</v>
      </c>
      <c r="C18" s="4"/>
      <c r="D18" s="4"/>
      <c r="E18" s="4"/>
      <c r="F18" s="4"/>
      <c r="G18" s="4"/>
      <c r="H18" s="4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25.5">
      <c r="A19" s="4" t="s">
        <v>50</v>
      </c>
      <c r="B19" s="4" t="s">
        <v>51</v>
      </c>
      <c r="C19" s="4"/>
      <c r="D19" s="4"/>
      <c r="E19" s="4"/>
      <c r="F19" s="4"/>
      <c r="G19" s="4"/>
      <c r="H19" s="4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4" t="s">
        <v>52</v>
      </c>
      <c r="B20" s="4" t="s">
        <v>53</v>
      </c>
      <c r="C20" s="4"/>
      <c r="D20" s="4"/>
      <c r="E20" s="4"/>
      <c r="F20" s="4"/>
      <c r="G20" s="4"/>
      <c r="H20" s="4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0"/>
  <sheetViews>
    <sheetView workbookViewId="0"/>
  </sheetViews>
  <sheetFormatPr defaultRowHeight="14.25"/>
  <cols>
    <col min="1" max="1" width="26" customWidth="1"/>
    <col min="2" max="4" width="31" customWidth="1"/>
    <col min="5" max="5" width="46" customWidth="1"/>
    <col min="6" max="6" width="4" customWidth="1"/>
    <col min="7" max="7" width="26" customWidth="1"/>
    <col min="8" max="10" width="32" customWidth="1"/>
  </cols>
  <sheetData>
    <row r="1" spans="1:21" ht="42" customHeight="1">
      <c r="A1" s="5" t="s">
        <v>54</v>
      </c>
      <c r="B1" s="5"/>
      <c r="C1" s="5"/>
      <c r="D1" s="5"/>
      <c r="E1" s="5"/>
      <c r="F1" s="5"/>
      <c r="G1" s="5"/>
      <c r="H1" s="5"/>
      <c r="I1" s="5"/>
      <c r="J1" s="5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44.1" customHeight="1">
      <c r="A2" s="6" t="s">
        <v>55</v>
      </c>
      <c r="B2" s="6"/>
      <c r="C2" s="6"/>
      <c r="D2" s="6"/>
      <c r="E2" s="6" t="s">
        <v>56</v>
      </c>
      <c r="F2" s="6"/>
      <c r="G2" s="6"/>
      <c r="H2" s="6"/>
      <c r="I2" s="6"/>
      <c r="J2" s="6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8" t="s">
        <v>57</v>
      </c>
      <c r="B4" s="8" t="s">
        <v>58</v>
      </c>
      <c r="C4" s="8" t="s">
        <v>59</v>
      </c>
      <c r="D4" s="8" t="s">
        <v>60</v>
      </c>
      <c r="E4" s="8" t="s">
        <v>61</v>
      </c>
      <c r="F4" s="8"/>
      <c r="G4" s="8" t="s">
        <v>62</v>
      </c>
      <c r="H4" s="8" t="s">
        <v>63</v>
      </c>
      <c r="I4" s="8" t="s">
        <v>64</v>
      </c>
      <c r="J4" s="8" t="s">
        <v>65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3" t="s">
        <v>66</v>
      </c>
      <c r="B5" s="3" t="str">
        <f>'Territory Register'!B5</f>
        <v>Evaluation-intent competitor comparison</v>
      </c>
      <c r="C5" s="3" t="str">
        <f>'Territory Register'!B6</f>
        <v>Broad competitor-analysis education</v>
      </c>
      <c r="D5" s="3" t="str">
        <f>'Territory Register'!B7</f>
        <v>Commercial-page technical recovery</v>
      </c>
      <c r="E5" s="3" t="s">
        <v>67</v>
      </c>
      <c r="F5" s="3"/>
      <c r="G5" s="3" t="s">
        <v>68</v>
      </c>
      <c r="H5" s="3" t="str">
        <f>'Overlap &amp; Dependency'!I5</f>
        <v>COMPARABLE</v>
      </c>
      <c r="I5" s="3" t="str">
        <f>'Overlap &amp; Dependency'!I6</f>
        <v>DEPENDENT</v>
      </c>
      <c r="J5" s="3" t="str">
        <f>'Overlap &amp; Dependency'!I7</f>
        <v>COMPARABLE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3" t="s">
        <v>69</v>
      </c>
      <c r="B6" s="3" t="str">
        <f>'Boundary &amp; Scope'!O5</f>
        <v>DEFINED</v>
      </c>
      <c r="C6" s="3" t="str">
        <f>'Boundary &amp; Scope'!O6</f>
        <v>DEFINED</v>
      </c>
      <c r="D6" s="3" t="str">
        <f>'Boundary &amp; Scope'!O7</f>
        <v>DEFINED</v>
      </c>
      <c r="E6" s="3" t="s">
        <v>70</v>
      </c>
      <c r="F6" s="3"/>
      <c r="G6" s="3" t="s">
        <v>71</v>
      </c>
      <c r="H6" s="3" t="str">
        <f>'Frontier &amp; Stability'!E5</f>
        <v>TRADE_OFFS_REMAIN</v>
      </c>
      <c r="I6" s="3" t="str">
        <f>'Frontier &amp; Stability'!E6</f>
        <v>DEPENDENT</v>
      </c>
      <c r="J6" s="3" t="str">
        <f>'Frontier &amp; Stability'!E7</f>
        <v>TRADE_OFFS_REMAIN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5.5">
      <c r="A7" s="3" t="s">
        <v>72</v>
      </c>
      <c r="B7" s="3" t="str">
        <f>'Commercial Path Evidence'!H5</f>
        <v>SUFFICIENT_FOR_COMPARISON</v>
      </c>
      <c r="C7" s="3" t="str">
        <f>'Commercial Path Evidence'!H6</f>
        <v>PARTIAL</v>
      </c>
      <c r="D7" s="3" t="str">
        <f>'Commercial Path Evidence'!H7</f>
        <v>SUFFICIENT_FOR_COMPARISON</v>
      </c>
      <c r="E7" s="3" t="s">
        <v>73</v>
      </c>
      <c r="F7" s="3"/>
      <c r="G7" s="3" t="s">
        <v>74</v>
      </c>
      <c r="H7" s="3" t="str">
        <f>'Frontier &amp; Stability'!F5</f>
        <v>Each territory retains at least one material advantage.</v>
      </c>
      <c r="I7" s="3" t="str">
        <f>'Frontier &amp; Stability'!F6</f>
        <v>Prerequisite/shared dependency prevents direct dominance.</v>
      </c>
      <c r="J7" s="3" t="str">
        <f>'Frontier &amp; Stability'!F7</f>
        <v>Each territory retains at least one material advantage.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5.5">
      <c r="A8" s="3" t="s">
        <v>75</v>
      </c>
      <c r="B8" s="3" t="str">
        <f>'Commercial Path Evidence'!M5</f>
        <v>PARTIALLY_MEASURED</v>
      </c>
      <c r="C8" s="3" t="str">
        <f>'Commercial Path Evidence'!M6</f>
        <v>INFERRED</v>
      </c>
      <c r="D8" s="3" t="str">
        <f>'Commercial Path Evidence'!M7</f>
        <v>PARTIALLY_MEASURED</v>
      </c>
      <c r="E8" s="3" t="s">
        <v>76</v>
      </c>
      <c r="F8" s="3"/>
      <c r="G8" s="3" t="s">
        <v>77</v>
      </c>
      <c r="H8" s="3" t="s">
        <v>78</v>
      </c>
      <c r="I8" s="3" t="s">
        <v>79</v>
      </c>
      <c r="J8" s="3" t="s">
        <v>78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 t="s">
        <v>80</v>
      </c>
      <c r="B9" s="3" t="str">
        <f>'Frontier &amp; Stability'!H10</f>
        <v>DEPENDENCY_CONSTRAINED</v>
      </c>
      <c r="C9" s="3" t="str">
        <f>'Frontier &amp; Stability'!H11</f>
        <v>NON_DOMINATED</v>
      </c>
      <c r="D9" s="3" t="str">
        <f>'Frontier &amp; Stability'!H12</f>
        <v>DEPENDENCY_CONSTRAINED</v>
      </c>
      <c r="E9" s="3" t="s">
        <v>81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82</v>
      </c>
      <c r="B10" s="3" t="str">
        <f>'Frontier &amp; Stability'!I10</f>
        <v>STRUCTURALLY_UNRESOLVED</v>
      </c>
      <c r="C10" s="3" t="str">
        <f>'Frontier &amp; Stability'!I11</f>
        <v>EVIDENCE_SENSITIVE</v>
      </c>
      <c r="D10" s="3" t="str">
        <f>'Frontier &amp; Stability'!I12</f>
        <v>STRUCTURALLY_UNRESOLVED</v>
      </c>
      <c r="E10" s="3" t="s">
        <v>83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32.1" customHeight="1">
      <c r="A14" s="9" t="s">
        <v>84</v>
      </c>
      <c r="B14" s="16" t="str">
        <f>'Frontier &amp; Stability'!B15</f>
        <v>NON_DOMINATED_FRONTIER</v>
      </c>
      <c r="C14" s="9"/>
      <c r="D14" s="9"/>
      <c r="E14" s="9"/>
      <c r="F14" s="9"/>
      <c r="G14" s="9"/>
      <c r="H14" s="9"/>
      <c r="I14" s="9"/>
      <c r="J14" s="9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75.95" customHeight="1">
      <c r="A15" s="9" t="s">
        <v>85</v>
      </c>
      <c r="B15" s="17" t="str">
        <f>'Frontier &amp; Stability'!B16</f>
        <v>At least one territory remains non-dominated; trade-offs or structural constraints prevent a complete independent ordering.</v>
      </c>
      <c r="C15" s="9"/>
      <c r="D15" s="9"/>
      <c r="E15" s="9"/>
      <c r="F15" s="9"/>
      <c r="G15" s="9"/>
      <c r="H15" s="9"/>
      <c r="I15" s="9"/>
      <c r="J15" s="9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110.1" customHeight="1">
      <c r="A16" s="9" t="s">
        <v>35</v>
      </c>
      <c r="B16" s="17" t="str">
        <f>IF('Frontier &amp; Stability'!J10&lt;&gt;"",'Frontier &amp; Stability'!J10,"")&amp;IF('Frontier &amp; Stability'!J11&lt;&gt;""," | "&amp;'Frontier &amp; Stability'!J11,"")&amp;IF('Frontier &amp; Stability'!J12&lt;&gt;""," | "&amp;'Frontier &amp; Stability'!J12,"")</f>
        <v>Resolve T-A dependency/prerequisite evidence before direct comparison. | Add first-party qualified-action/current-capture evidence that could change T-B frontier status. | Verify T-C prerequisite and recovered qualified reach before treating it as an independent alternative.</v>
      </c>
      <c r="C16" s="9"/>
      <c r="D16" s="9"/>
      <c r="E16" s="9"/>
      <c r="F16" s="9"/>
      <c r="G16" s="9"/>
      <c r="H16" s="9"/>
      <c r="I16" s="9"/>
      <c r="J16" s="9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90" customHeight="1">
      <c r="A17" s="9" t="s">
        <v>86</v>
      </c>
      <c r="B17" s="17" t="str">
        <f>'Frontier &amp; Stability'!B17</f>
        <v>Carry the live territory boundaries, pairwise relations, frontier state, stability and decision-changing evidence into Fund / Prepare / Defer / Ignore.</v>
      </c>
      <c r="C17" s="9"/>
      <c r="D17" s="9"/>
      <c r="E17" s="9"/>
      <c r="F17" s="9"/>
      <c r="G17" s="9"/>
      <c r="H17" s="9"/>
      <c r="I17" s="9"/>
      <c r="J17" s="9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0"/>
  <sheetViews>
    <sheetView workbookViewId="0"/>
  </sheetViews>
  <sheetFormatPr defaultRowHeight="14.25"/>
  <cols>
    <col min="1" max="1" width="12" customWidth="1"/>
    <col min="2" max="3" width="30" customWidth="1"/>
    <col min="4" max="4" width="18" customWidth="1"/>
    <col min="5" max="5" width="25" customWidth="1"/>
    <col min="6" max="6" width="34" customWidth="1"/>
    <col min="7" max="7" width="30" customWidth="1"/>
    <col min="8" max="8" width="25" customWidth="1"/>
    <col min="9" max="9" width="18" customWidth="1"/>
    <col min="10" max="10" width="14" customWidth="1"/>
    <col min="11" max="11" width="22" customWidth="1"/>
    <col min="12" max="12" width="38" customWidth="1"/>
    <col min="13" max="13" width="30" customWidth="1"/>
    <col min="14" max="14" width="34" customWidth="1"/>
    <col min="15" max="15" width="24" customWidth="1"/>
    <col min="16" max="17" width="22" customWidth="1"/>
    <col min="18" max="18" width="16" customWidth="1"/>
  </cols>
  <sheetData>
    <row r="1" spans="1:21" ht="33.950000000000003" customHeight="1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3"/>
      <c r="T1" s="3"/>
      <c r="U1" s="3"/>
    </row>
    <row r="2" spans="1:21" ht="30" customHeight="1">
      <c r="A2" s="6" t="s">
        <v>87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8" t="s">
        <v>88</v>
      </c>
      <c r="B4" s="8" t="s">
        <v>66</v>
      </c>
      <c r="C4" s="8" t="s">
        <v>89</v>
      </c>
      <c r="D4" s="8" t="s">
        <v>90</v>
      </c>
      <c r="E4" s="8" t="s">
        <v>91</v>
      </c>
      <c r="F4" s="8" t="s">
        <v>92</v>
      </c>
      <c r="G4" s="8" t="s">
        <v>93</v>
      </c>
      <c r="H4" s="8" t="s">
        <v>94</v>
      </c>
      <c r="I4" s="8" t="s">
        <v>95</v>
      </c>
      <c r="J4" s="8" t="s">
        <v>96</v>
      </c>
      <c r="K4" s="8" t="s">
        <v>97</v>
      </c>
      <c r="L4" s="8" t="s">
        <v>98</v>
      </c>
      <c r="M4" s="8" t="s">
        <v>99</v>
      </c>
      <c r="N4" s="8" t="s">
        <v>100</v>
      </c>
      <c r="O4" s="8" t="s">
        <v>101</v>
      </c>
      <c r="P4" s="8" t="s">
        <v>102</v>
      </c>
      <c r="Q4" s="8" t="s">
        <v>103</v>
      </c>
      <c r="R4" s="8" t="s">
        <v>104</v>
      </c>
      <c r="S4" s="3"/>
      <c r="T4" s="3"/>
      <c r="U4" s="3"/>
    </row>
    <row r="5" spans="1:21" ht="25.5">
      <c r="A5" s="3" t="s">
        <v>58</v>
      </c>
      <c r="B5" s="3" t="s">
        <v>105</v>
      </c>
      <c r="C5" s="3" t="s">
        <v>106</v>
      </c>
      <c r="D5" s="3" t="s">
        <v>107</v>
      </c>
      <c r="E5" s="3" t="s">
        <v>108</v>
      </c>
      <c r="F5" s="3" t="s">
        <v>109</v>
      </c>
      <c r="G5" s="3" t="s">
        <v>110</v>
      </c>
      <c r="H5" s="3" t="s">
        <v>111</v>
      </c>
      <c r="I5" s="3" t="s">
        <v>112</v>
      </c>
      <c r="J5" s="3" t="s">
        <v>113</v>
      </c>
      <c r="K5" s="3" t="s">
        <v>114</v>
      </c>
      <c r="L5" s="3" t="s">
        <v>115</v>
      </c>
      <c r="M5" s="3" t="s">
        <v>116</v>
      </c>
      <c r="N5" s="3" t="s">
        <v>117</v>
      </c>
      <c r="O5" s="3" t="s">
        <v>118</v>
      </c>
      <c r="P5" s="3" t="s">
        <v>119</v>
      </c>
      <c r="Q5" s="3" t="s">
        <v>120</v>
      </c>
      <c r="R5" s="3" t="s">
        <v>121</v>
      </c>
      <c r="S5" s="3"/>
      <c r="T5" s="3"/>
      <c r="U5" s="3"/>
    </row>
    <row r="6" spans="1:21" ht="25.5">
      <c r="A6" s="3" t="s">
        <v>59</v>
      </c>
      <c r="B6" s="3" t="s">
        <v>122</v>
      </c>
      <c r="C6" s="3" t="s">
        <v>123</v>
      </c>
      <c r="D6" s="3" t="s">
        <v>107</v>
      </c>
      <c r="E6" s="3" t="s">
        <v>108</v>
      </c>
      <c r="F6" s="3" t="s">
        <v>124</v>
      </c>
      <c r="G6" s="3" t="s">
        <v>110</v>
      </c>
      <c r="H6" s="3" t="s">
        <v>111</v>
      </c>
      <c r="I6" s="3" t="s">
        <v>112</v>
      </c>
      <c r="J6" s="3" t="s">
        <v>113</v>
      </c>
      <c r="K6" s="3" t="s">
        <v>125</v>
      </c>
      <c r="L6" s="3" t="s">
        <v>126</v>
      </c>
      <c r="M6" s="3" t="s">
        <v>127</v>
      </c>
      <c r="N6" s="3" t="s">
        <v>128</v>
      </c>
      <c r="O6" s="3" t="s">
        <v>129</v>
      </c>
      <c r="P6" s="3" t="s">
        <v>119</v>
      </c>
      <c r="Q6" s="3" t="s">
        <v>120</v>
      </c>
      <c r="R6" s="3" t="s">
        <v>121</v>
      </c>
      <c r="S6" s="3"/>
      <c r="T6" s="3"/>
      <c r="U6" s="3"/>
    </row>
    <row r="7" spans="1:21" ht="25.5">
      <c r="A7" s="3" t="s">
        <v>60</v>
      </c>
      <c r="B7" s="3" t="s">
        <v>130</v>
      </c>
      <c r="C7" s="3" t="s">
        <v>131</v>
      </c>
      <c r="D7" s="3" t="s">
        <v>107</v>
      </c>
      <c r="E7" s="3" t="s">
        <v>108</v>
      </c>
      <c r="F7" s="3" t="s">
        <v>132</v>
      </c>
      <c r="G7" s="3" t="s">
        <v>110</v>
      </c>
      <c r="H7" s="3" t="s">
        <v>111</v>
      </c>
      <c r="I7" s="3" t="s">
        <v>112</v>
      </c>
      <c r="J7" s="3" t="s">
        <v>113</v>
      </c>
      <c r="K7" s="3" t="s">
        <v>114</v>
      </c>
      <c r="L7" s="3" t="s">
        <v>133</v>
      </c>
      <c r="M7" s="3" t="s">
        <v>134</v>
      </c>
      <c r="N7" s="3" t="s">
        <v>135</v>
      </c>
      <c r="O7" s="3" t="s">
        <v>136</v>
      </c>
      <c r="P7" s="3" t="s">
        <v>119</v>
      </c>
      <c r="Q7" s="3" t="s">
        <v>120</v>
      </c>
      <c r="R7" s="3" t="s">
        <v>121</v>
      </c>
      <c r="S7" s="3"/>
      <c r="T7" s="3"/>
      <c r="U7" s="3"/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dataValidations count="2">
    <dataValidation type="list" allowBlank="1" sqref="C5:C12" xr:uid="{00000000-0002-0000-0200-000000000000}">
      <formula1>A40_TerritoryTypes</formula1>
    </dataValidation>
    <dataValidation type="list" sqref="D5:D12" xr:uid="{00000000-0002-0000-0200-000001000000}">
      <formula1>"B2B_SAAS,ECOMMERCE,LOCAL_SERVICE,LEAD_GENERATION,ENTERPRISE,AI_ANSWER_ENGINE"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0"/>
  <sheetViews>
    <sheetView workbookViewId="0"/>
  </sheetViews>
  <sheetFormatPr defaultRowHeight="14.25"/>
  <cols>
    <col min="1" max="1" width="16" customWidth="1"/>
    <col min="2" max="2" width="34" customWidth="1"/>
    <col min="3" max="12" width="16" customWidth="1"/>
    <col min="13" max="14" width="34" customWidth="1"/>
    <col min="15" max="16" width="16" customWidth="1"/>
    <col min="17" max="17" width="18" customWidth="1"/>
  </cols>
  <sheetData>
    <row r="1" spans="1:21" ht="33.950000000000003" customHeight="1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3"/>
      <c r="R1" s="3"/>
      <c r="S1" s="3"/>
      <c r="T1" s="3"/>
      <c r="U1" s="3"/>
    </row>
    <row r="2" spans="1:21" ht="30" customHeight="1">
      <c r="A2" s="6" t="s">
        <v>137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25.5">
      <c r="A4" s="8" t="s">
        <v>88</v>
      </c>
      <c r="B4" s="8" t="s">
        <v>138</v>
      </c>
      <c r="C4" s="8" t="s">
        <v>139</v>
      </c>
      <c r="D4" s="8" t="s">
        <v>140</v>
      </c>
      <c r="E4" s="8" t="s">
        <v>141</v>
      </c>
      <c r="F4" s="8" t="s">
        <v>142</v>
      </c>
      <c r="G4" s="8" t="s">
        <v>143</v>
      </c>
      <c r="H4" s="8" t="s">
        <v>144</v>
      </c>
      <c r="I4" s="8" t="s">
        <v>145</v>
      </c>
      <c r="J4" s="8" t="s">
        <v>146</v>
      </c>
      <c r="K4" s="8" t="s">
        <v>147</v>
      </c>
      <c r="L4" s="8" t="s">
        <v>148</v>
      </c>
      <c r="M4" s="8" t="s">
        <v>149</v>
      </c>
      <c r="N4" s="8" t="s">
        <v>150</v>
      </c>
      <c r="O4" s="8" t="s">
        <v>69</v>
      </c>
      <c r="P4" s="8" t="s">
        <v>151</v>
      </c>
      <c r="Q4" s="14" t="s">
        <v>152</v>
      </c>
      <c r="R4" s="3"/>
      <c r="S4" s="3"/>
      <c r="T4" s="3"/>
      <c r="U4" s="3"/>
    </row>
    <row r="5" spans="1:21" ht="135">
      <c r="A5" s="3" t="str">
        <f>IF('Territory Register'!A5="","",'Territory Register'!A5)</f>
        <v>T-A</v>
      </c>
      <c r="B5" s="3" t="str">
        <f>IF('Territory Register'!B5="","",'Territory Register'!B5)</f>
        <v>Evaluation-intent competitor comparison</v>
      </c>
      <c r="C5" s="3" t="str">
        <f>IF($A5="","",IF(LEN(TRIM(SUBSTITUTE('Territory Register'!E5,CHAR(160)," ")))&gt;0,"YES","NO"))</f>
        <v>YES</v>
      </c>
      <c r="D5" s="3" t="str">
        <f>IF($A5="","",IF(LEN(TRIM(SUBSTITUTE('Territory Register'!F5,CHAR(160)," ")))&gt;0,"YES","NO"))</f>
        <v>YES</v>
      </c>
      <c r="E5" s="3" t="str">
        <f>IF($A5="","",IF(LEN(TRIM(SUBSTITUTE('Territory Register'!G5,CHAR(160)," ")))&gt;0,"YES","NO"))</f>
        <v>YES</v>
      </c>
      <c r="F5" s="3" t="str">
        <f>IF($A5="","",IF(LEN(TRIM(SUBSTITUTE('Territory Register'!H5,CHAR(160)," ")))&gt;0,"YES","NO"))</f>
        <v>YES</v>
      </c>
      <c r="G5" s="3" t="str">
        <f>IF($A5="","",IF(LEN(TRIM(SUBSTITUTE('Territory Register'!I5,CHAR(160)," ")))&gt;0,"YES","NO"))</f>
        <v>YES</v>
      </c>
      <c r="H5" s="3" t="str">
        <f>IF($A5="","",IF(LEN(TRIM(SUBSTITUTE('Territory Register'!J5,CHAR(160)," ")))&gt;0,"YES","NO"))</f>
        <v>YES</v>
      </c>
      <c r="I5" s="3" t="str">
        <f>IF($A5="","",IF(LEN(TRIM(SUBSTITUTE('Territory Register'!K5,CHAR(160)," ")))&gt;0,"YES","NO"))</f>
        <v>YES</v>
      </c>
      <c r="J5" s="3" t="str">
        <f>IF($A5="","",IF(LEN(TRIM(SUBSTITUTE('Territory Register'!P5,CHAR(160)," ")))&gt;0,"YES","NO"))</f>
        <v>YES</v>
      </c>
      <c r="K5" s="3" t="str">
        <f>IF($A5="","",IF(LEN(TRIM(SUBSTITUTE('Territory Register'!R5,CHAR(160)," ")))&gt;0,"YES","NO"))</f>
        <v>YES</v>
      </c>
      <c r="L5" s="3" t="s">
        <v>153</v>
      </c>
      <c r="M5" s="3" t="str">
        <f>IF($A5="","",IF(AND(C5="YES",D5="YES",E5="YES",F5="YES",G5="YES",H5="YES",I5="YES",J5="YES"),'Territory Register'!E5&amp;" × "&amp;'Territory Register'!F5&amp;" × "&amp;'Territory Register'!G5&amp;" × "&amp;'Territory Register'!H5&amp;" × "&amp;'Territory Register'!I5&amp;" × "&amp;'Territory Register'!J5&amp;" × "&amp;'Territory Register'!K5&amp;" × "&amp;'Territory Register'!P5&amp;" × "&amp;'Territory Register'!C5,"INCOMPLETE"))</f>
        <v>Enterprise marketing leader × Needs defensible competitor intelligence before a strategic decision × Competitive Decision Intelligence service × B2B SaaS decision intelligence × United States × English × Commercial evaluation × Qualified pipeline × COMPARISON_ALTERNATIVE_TERRITORY</v>
      </c>
      <c r="N5" s="3"/>
      <c r="O5" s="3" t="s">
        <v>154</v>
      </c>
      <c r="P5" s="3" t="str">
        <f>IF($A5="","",IF(AND(C5="YES",D5="YES",E5="YES",F5="YES",G5="YES",H5="YES",I5="YES",J5="YES",K5="YES",L5="YES",O5="DEFINED"),"READY",IF(AND(C5="YES",D5="YES",E5="YES",F5="YES",G5="YES",H5="YES",I5="YES",J5="YES",K5="YES",L5="YES",O5="PARTIALLY_DEFINED"),"CAVEAT","BLOCKED")))</f>
        <v>READY</v>
      </c>
      <c r="Q5" s="14" t="str">
        <f>IF($A5="","",TRIM(SUBSTITUTE('Territory Register'!E5,CHAR(160)," "))&amp;" × "&amp;TRIM(SUBSTITUTE('Territory Register'!F5,CHAR(160)," "))&amp;" × "&amp;TRIM(SUBSTITUTE('Territory Register'!G5,CHAR(160)," "))&amp;" × "&amp;TRIM(SUBSTITUTE('Territory Register'!H5,CHAR(160)," "))&amp;" × "&amp;TRIM(SUBSTITUTE('Territory Register'!I5,CHAR(160)," "))&amp;" × "&amp;TRIM(SUBSTITUTE('Territory Register'!J5,CHAR(160)," "))&amp;" × "&amp;TRIM(SUBSTITUTE('Territory Register'!K5,CHAR(160)," "))&amp;" × "&amp;TRIM(SUBSTITUTE('Territory Register'!P5,CHAR(160)," "))&amp;" × "&amp;TRIM(SUBSTITUTE('Territory Register'!C5,CHAR(160)," ")))</f>
        <v>Enterprise marketing leader × Needs defensible competitor intelligence before a strategic decision × Competitive Decision Intelligence service × B2B SaaS decision intelligence × United States × English × Commercial evaluation × Qualified pipeline × COMPARISON_ALTERNATIVE_TERRITORY</v>
      </c>
      <c r="R5" s="3"/>
      <c r="S5" s="3"/>
      <c r="T5" s="3"/>
      <c r="U5" s="3"/>
    </row>
    <row r="6" spans="1:21" ht="135">
      <c r="A6" s="3" t="str">
        <f>IF('Territory Register'!A6="","",'Territory Register'!A6)</f>
        <v>T-B</v>
      </c>
      <c r="B6" s="3" t="str">
        <f>IF('Territory Register'!B6="","",'Territory Register'!B6)</f>
        <v>Broad competitor-analysis education</v>
      </c>
      <c r="C6" s="3" t="str">
        <f>IF($A6="","",IF(LEN(TRIM(SUBSTITUTE('Territory Register'!E6,CHAR(160)," ")))&gt;0,"YES","NO"))</f>
        <v>YES</v>
      </c>
      <c r="D6" s="3" t="str">
        <f>IF($A6="","",IF(LEN(TRIM(SUBSTITUTE('Territory Register'!F6,CHAR(160)," ")))&gt;0,"YES","NO"))</f>
        <v>YES</v>
      </c>
      <c r="E6" s="3" t="str">
        <f>IF($A6="","",IF(LEN(TRIM(SUBSTITUTE('Territory Register'!G6,CHAR(160)," ")))&gt;0,"YES","NO"))</f>
        <v>YES</v>
      </c>
      <c r="F6" s="3" t="str">
        <f>IF($A6="","",IF(LEN(TRIM(SUBSTITUTE('Territory Register'!H6,CHAR(160)," ")))&gt;0,"YES","NO"))</f>
        <v>YES</v>
      </c>
      <c r="G6" s="3" t="str">
        <f>IF($A6="","",IF(LEN(TRIM(SUBSTITUTE('Territory Register'!I6,CHAR(160)," ")))&gt;0,"YES","NO"))</f>
        <v>YES</v>
      </c>
      <c r="H6" s="3" t="str">
        <f>IF($A6="","",IF(LEN(TRIM(SUBSTITUTE('Territory Register'!J6,CHAR(160)," ")))&gt;0,"YES","NO"))</f>
        <v>YES</v>
      </c>
      <c r="I6" s="3" t="str">
        <f>IF($A6="","",IF(LEN(TRIM(SUBSTITUTE('Territory Register'!K6,CHAR(160)," ")))&gt;0,"YES","NO"))</f>
        <v>YES</v>
      </c>
      <c r="J6" s="3" t="str">
        <f>IF($A6="","",IF(LEN(TRIM(SUBSTITUTE('Territory Register'!P6,CHAR(160)," ")))&gt;0,"YES","NO"))</f>
        <v>YES</v>
      </c>
      <c r="K6" s="3" t="str">
        <f>IF($A6="","",IF(LEN(TRIM(SUBSTITUTE('Territory Register'!R6,CHAR(160)," ")))&gt;0,"YES","NO"))</f>
        <v>YES</v>
      </c>
      <c r="L6" s="3" t="s">
        <v>153</v>
      </c>
      <c r="M6" s="3" t="str">
        <f>IF($A6="","",IF(AND(C6="YES",D6="YES",E6="YES",F6="YES",G6="YES",H6="YES",I6="YES",J6="YES"),'Territory Register'!E6&amp;" × "&amp;'Territory Register'!F6&amp;" × "&amp;'Territory Register'!G6&amp;" × "&amp;'Territory Register'!H6&amp;" × "&amp;'Territory Register'!I6&amp;" × "&amp;'Territory Register'!J6&amp;" × "&amp;'Territory Register'!K6&amp;" × "&amp;'Territory Register'!P6&amp;" × "&amp;'Territory Register'!C6,"INCOMPLETE"))</f>
        <v>Enterprise marketing leader × Needs to understand competitor analysis methods × Competitive Decision Intelligence service × B2B SaaS decision intelligence × United States × English × Informational education × Qualified pipeline × CONTENT_EDUCATION_TERRITORY</v>
      </c>
      <c r="N6" s="3"/>
      <c r="O6" s="3" t="s">
        <v>154</v>
      </c>
      <c r="P6" s="3" t="str">
        <f>IF($A6="","",IF(AND(C6="YES",D6="YES",E6="YES",F6="YES",G6="YES",H6="YES",I6="YES",J6="YES",K6="YES",L6="YES",O6="DEFINED"),"READY",IF(AND(C6="YES",D6="YES",E6="YES",F6="YES",G6="YES",H6="YES",I6="YES",J6="YES",K6="YES",L6="YES",O6="PARTIALLY_DEFINED"),"CAVEAT","BLOCKED")))</f>
        <v>READY</v>
      </c>
      <c r="Q6" s="14" t="str">
        <f>IF($A6="","",TRIM(SUBSTITUTE('Territory Register'!E6,CHAR(160)," "))&amp;" × "&amp;TRIM(SUBSTITUTE('Territory Register'!F6,CHAR(160)," "))&amp;" × "&amp;TRIM(SUBSTITUTE('Territory Register'!G6,CHAR(160)," "))&amp;" × "&amp;TRIM(SUBSTITUTE('Territory Register'!H6,CHAR(160)," "))&amp;" × "&amp;TRIM(SUBSTITUTE('Territory Register'!I6,CHAR(160)," "))&amp;" × "&amp;TRIM(SUBSTITUTE('Territory Register'!J6,CHAR(160)," "))&amp;" × "&amp;TRIM(SUBSTITUTE('Territory Register'!K6,CHAR(160)," "))&amp;" × "&amp;TRIM(SUBSTITUTE('Territory Register'!P6,CHAR(160)," "))&amp;" × "&amp;TRIM(SUBSTITUTE('Territory Register'!C6,CHAR(160)," ")))</f>
        <v>Enterprise marketing leader × Needs to understand competitor analysis methods × Competitive Decision Intelligence service × B2B SaaS decision intelligence × United States × English × Informational education × Qualified pipeline × CONTENT_EDUCATION_TERRITORY</v>
      </c>
      <c r="R6" s="3"/>
      <c r="S6" s="3"/>
      <c r="T6" s="3"/>
      <c r="U6" s="3"/>
    </row>
    <row r="7" spans="1:21" ht="135">
      <c r="A7" s="3" t="str">
        <f>IF('Territory Register'!A7="","",'Territory Register'!A7)</f>
        <v>T-C</v>
      </c>
      <c r="B7" s="3" t="str">
        <f>IF('Territory Register'!B7="","",'Territory Register'!B7)</f>
        <v>Commercial-page technical recovery</v>
      </c>
      <c r="C7" s="3" t="str">
        <f>IF($A7="","",IF(LEN(TRIM(SUBSTITUTE('Territory Register'!E7,CHAR(160)," ")))&gt;0,"YES","NO"))</f>
        <v>YES</v>
      </c>
      <c r="D7" s="3" t="str">
        <f>IF($A7="","",IF(LEN(TRIM(SUBSTITUTE('Territory Register'!F7,CHAR(160)," ")))&gt;0,"YES","NO"))</f>
        <v>YES</v>
      </c>
      <c r="E7" s="3" t="str">
        <f>IF($A7="","",IF(LEN(TRIM(SUBSTITUTE('Territory Register'!G7,CHAR(160)," ")))&gt;0,"YES","NO"))</f>
        <v>YES</v>
      </c>
      <c r="F7" s="3" t="str">
        <f>IF($A7="","",IF(LEN(TRIM(SUBSTITUTE('Territory Register'!H7,CHAR(160)," ")))&gt;0,"YES","NO"))</f>
        <v>YES</v>
      </c>
      <c r="G7" s="3" t="str">
        <f>IF($A7="","",IF(LEN(TRIM(SUBSTITUTE('Territory Register'!I7,CHAR(160)," ")))&gt;0,"YES","NO"))</f>
        <v>YES</v>
      </c>
      <c r="H7" s="3" t="str">
        <f>IF($A7="","",IF(LEN(TRIM(SUBSTITUTE('Territory Register'!J7,CHAR(160)," ")))&gt;0,"YES","NO"))</f>
        <v>YES</v>
      </c>
      <c r="I7" s="3" t="str">
        <f>IF($A7="","",IF(LEN(TRIM(SUBSTITUTE('Territory Register'!K7,CHAR(160)," ")))&gt;0,"YES","NO"))</f>
        <v>YES</v>
      </c>
      <c r="J7" s="3" t="str">
        <f>IF($A7="","",IF(LEN(TRIM(SUBSTITUTE('Territory Register'!P7,CHAR(160)," ")))&gt;0,"YES","NO"))</f>
        <v>YES</v>
      </c>
      <c r="K7" s="3" t="str">
        <f>IF($A7="","",IF(LEN(TRIM(SUBSTITUTE('Territory Register'!R7,CHAR(160)," ")))&gt;0,"YES","NO"))</f>
        <v>YES</v>
      </c>
      <c r="L7" s="3" t="s">
        <v>153</v>
      </c>
      <c r="M7" s="3" t="str">
        <f>IF($A7="","",IF(AND(C7="YES",D7="YES",E7="YES",F7="YES",G7="YES",H7="YES",I7="YES",J7="YES"),'Territory Register'!E7&amp;" × "&amp;'Territory Register'!F7&amp;" × "&amp;'Territory Register'!G7&amp;" × "&amp;'Territory Register'!H7&amp;" × "&amp;'Territory Register'!I7&amp;" × "&amp;'Territory Register'!J7&amp;" × "&amp;'Territory Register'!K7&amp;" × "&amp;'Territory Register'!P7&amp;" × "&amp;'Territory Register'!C7,"INCOMPLETE"))</f>
        <v>Enterprise marketing leader × Commercial pages are under-crawled or under-indexed × Competitive Decision Intelligence service × B2B SaaS decision intelligence × United States × English × Commercial evaluation × Qualified pipeline × TECHNICAL_RECOVERY_TERRITORY</v>
      </c>
      <c r="N7" s="3"/>
      <c r="O7" s="3" t="s">
        <v>154</v>
      </c>
      <c r="P7" s="3" t="str">
        <f>IF($A7="","",IF(AND(C7="YES",D7="YES",E7="YES",F7="YES",G7="YES",H7="YES",I7="YES",J7="YES",K7="YES",L7="YES",O7="DEFINED"),"READY",IF(AND(C7="YES",D7="YES",E7="YES",F7="YES",G7="YES",H7="YES",I7="YES",J7="YES",K7="YES",L7="YES",O7="PARTIALLY_DEFINED"),"CAVEAT","BLOCKED")))</f>
        <v>READY</v>
      </c>
      <c r="Q7" s="14" t="str">
        <f>IF($A7="","",TRIM(SUBSTITUTE('Territory Register'!E7,CHAR(160)," "))&amp;" × "&amp;TRIM(SUBSTITUTE('Territory Register'!F7,CHAR(160)," "))&amp;" × "&amp;TRIM(SUBSTITUTE('Territory Register'!G7,CHAR(160)," "))&amp;" × "&amp;TRIM(SUBSTITUTE('Territory Register'!H7,CHAR(160)," "))&amp;" × "&amp;TRIM(SUBSTITUTE('Territory Register'!I7,CHAR(160)," "))&amp;" × "&amp;TRIM(SUBSTITUTE('Territory Register'!J7,CHAR(160)," "))&amp;" × "&amp;TRIM(SUBSTITUTE('Territory Register'!K7,CHAR(160)," "))&amp;" × "&amp;TRIM(SUBSTITUTE('Territory Register'!P7,CHAR(160)," "))&amp;" × "&amp;TRIM(SUBSTITUTE('Territory Register'!C7,CHAR(160)," ")))</f>
        <v>Enterprise marketing leader × Commercial pages are under-crawled or under-indexed × Competitive Decision Intelligence service × B2B SaaS decision intelligence × United States × English × Commercial evaluation × Qualified pipeline × TECHNICAL_RECOVERY_TERRITORY</v>
      </c>
      <c r="R7" s="3"/>
      <c r="S7" s="3"/>
      <c r="T7" s="3"/>
      <c r="U7" s="3"/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14"/>
      <c r="R8" s="3"/>
      <c r="S8" s="3"/>
      <c r="T8" s="3"/>
      <c r="U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4"/>
      <c r="R9" s="3"/>
      <c r="S9" s="3"/>
      <c r="T9" s="3"/>
      <c r="U9" s="3"/>
    </row>
    <row r="10" spans="1:2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14"/>
      <c r="R10" s="3"/>
      <c r="S10" s="3"/>
      <c r="T10" s="3"/>
      <c r="U10" s="3"/>
    </row>
    <row r="11" spans="1:2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14"/>
      <c r="R11" s="3"/>
      <c r="S11" s="3"/>
      <c r="T11" s="3"/>
      <c r="U11" s="3"/>
    </row>
    <row r="12" spans="1:2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14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dataValidations count="2">
    <dataValidation type="list" sqref="O5:O12" xr:uid="{00000000-0002-0000-0300-000000000000}">
      <formula1>"DEFINED,PARTIALLY_DEFINED,BOUNDARY_CONFLICT,NOT_DEFINED"</formula1>
    </dataValidation>
    <dataValidation type="list" sqref="L5:L12" xr:uid="{00000000-0002-0000-0300-000001000000}">
      <formula1>"YES,NO"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80"/>
  <sheetViews>
    <sheetView workbookViewId="0"/>
  </sheetViews>
  <sheetFormatPr defaultRowHeight="14.25"/>
  <cols>
    <col min="1" max="1" width="12" customWidth="1"/>
    <col min="2" max="2" width="30" customWidth="1"/>
    <col min="3" max="5" width="20" customWidth="1"/>
    <col min="6" max="6" width="22" customWidth="1"/>
    <col min="7" max="7" width="24" customWidth="1"/>
    <col min="8" max="8" width="28" customWidth="1"/>
    <col min="9" max="9" width="22" customWidth="1"/>
    <col min="10" max="11" width="18" customWidth="1"/>
    <col min="12" max="12" width="24" customWidth="1"/>
    <col min="13" max="13" width="22" customWidth="1"/>
    <col min="14" max="14" width="48" customWidth="1"/>
  </cols>
  <sheetData>
    <row r="1" spans="1:21" ht="33.950000000000003" customHeight="1">
      <c r="A1" s="5" t="s">
        <v>155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"/>
      <c r="P1" s="3"/>
      <c r="Q1" s="3"/>
      <c r="R1" s="3"/>
      <c r="S1" s="3"/>
      <c r="T1" s="3"/>
      <c r="U1" s="3"/>
    </row>
    <row r="2" spans="1:21" ht="30" customHeight="1">
      <c r="A2" s="6" t="s">
        <v>156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25.5">
      <c r="A4" s="8" t="s">
        <v>88</v>
      </c>
      <c r="B4" s="8" t="s">
        <v>138</v>
      </c>
      <c r="C4" s="8" t="s">
        <v>157</v>
      </c>
      <c r="D4" s="8" t="s">
        <v>158</v>
      </c>
      <c r="E4" s="8" t="s">
        <v>159</v>
      </c>
      <c r="F4" s="8" t="s">
        <v>160</v>
      </c>
      <c r="G4" s="8" t="s">
        <v>161</v>
      </c>
      <c r="H4" s="8" t="s">
        <v>72</v>
      </c>
      <c r="I4" s="8" t="s">
        <v>162</v>
      </c>
      <c r="J4" s="8" t="s">
        <v>163</v>
      </c>
      <c r="K4" s="8" t="s">
        <v>164</v>
      </c>
      <c r="L4" s="8" t="s">
        <v>165</v>
      </c>
      <c r="M4" s="8" t="s">
        <v>75</v>
      </c>
      <c r="N4" s="8" t="s">
        <v>166</v>
      </c>
      <c r="O4" s="3"/>
      <c r="P4" s="3"/>
      <c r="Q4" s="3"/>
      <c r="R4" s="3"/>
      <c r="S4" s="3"/>
      <c r="T4" s="3"/>
      <c r="U4" s="3"/>
    </row>
    <row r="5" spans="1:21" ht="25.5">
      <c r="A5" s="3" t="s">
        <v>58</v>
      </c>
      <c r="B5" s="3" t="s">
        <v>105</v>
      </c>
      <c r="C5" s="3" t="s">
        <v>167</v>
      </c>
      <c r="D5" s="3" t="s">
        <v>167</v>
      </c>
      <c r="E5" s="3" t="s">
        <v>167</v>
      </c>
      <c r="F5" s="3" t="s">
        <v>167</v>
      </c>
      <c r="G5" s="3" t="s">
        <v>168</v>
      </c>
      <c r="H5" s="3" t="s">
        <v>169</v>
      </c>
      <c r="I5" s="3" t="s">
        <v>170</v>
      </c>
      <c r="J5" s="3"/>
      <c r="K5" s="3"/>
      <c r="L5" s="3"/>
      <c r="M5" s="3" t="s">
        <v>171</v>
      </c>
      <c r="N5" s="3" t="s">
        <v>172</v>
      </c>
      <c r="O5" s="3"/>
      <c r="P5" s="3"/>
      <c r="Q5" s="3"/>
      <c r="R5" s="3"/>
      <c r="S5" s="3"/>
      <c r="T5" s="3"/>
      <c r="U5" s="3"/>
    </row>
    <row r="6" spans="1:21" ht="38.25">
      <c r="A6" s="3" t="s">
        <v>59</v>
      </c>
      <c r="B6" s="3" t="s">
        <v>122</v>
      </c>
      <c r="C6" s="3" t="s">
        <v>168</v>
      </c>
      <c r="D6" s="3" t="s">
        <v>167</v>
      </c>
      <c r="E6" s="3" t="s">
        <v>168</v>
      </c>
      <c r="F6" s="3" t="s">
        <v>168</v>
      </c>
      <c r="G6" s="3" t="s">
        <v>168</v>
      </c>
      <c r="H6" s="3" t="s">
        <v>173</v>
      </c>
      <c r="I6" s="3" t="s">
        <v>170</v>
      </c>
      <c r="J6" s="3"/>
      <c r="K6" s="3"/>
      <c r="L6" s="3"/>
      <c r="M6" s="3" t="s">
        <v>168</v>
      </c>
      <c r="N6" s="3" t="s">
        <v>174</v>
      </c>
      <c r="O6" s="3"/>
      <c r="P6" s="3"/>
      <c r="Q6" s="3"/>
      <c r="R6" s="3"/>
      <c r="S6" s="3"/>
      <c r="T6" s="3"/>
      <c r="U6" s="3"/>
    </row>
    <row r="7" spans="1:21" ht="25.5">
      <c r="A7" s="3" t="s">
        <v>60</v>
      </c>
      <c r="B7" s="3" t="s">
        <v>130</v>
      </c>
      <c r="C7" s="3" t="s">
        <v>167</v>
      </c>
      <c r="D7" s="3" t="s">
        <v>167</v>
      </c>
      <c r="E7" s="3" t="s">
        <v>167</v>
      </c>
      <c r="F7" s="3" t="s">
        <v>167</v>
      </c>
      <c r="G7" s="3" t="s">
        <v>168</v>
      </c>
      <c r="H7" s="3" t="s">
        <v>169</v>
      </c>
      <c r="I7" s="3" t="s">
        <v>170</v>
      </c>
      <c r="J7" s="3"/>
      <c r="K7" s="3"/>
      <c r="L7" s="3"/>
      <c r="M7" s="3" t="s">
        <v>171</v>
      </c>
      <c r="N7" s="3" t="s">
        <v>175</v>
      </c>
      <c r="O7" s="3"/>
      <c r="P7" s="3"/>
      <c r="Q7" s="3"/>
      <c r="R7" s="3"/>
      <c r="S7" s="3"/>
      <c r="T7" s="3"/>
      <c r="U7" s="3"/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dataValidations count="4">
    <dataValidation type="list" sqref="C5:G12" xr:uid="{00000000-0002-0000-0400-000000000000}">
      <formula1>"OBSERVED,INFERRED,UNRESOLVED,CONTRADICTED"</formula1>
    </dataValidation>
    <dataValidation type="list" sqref="H5:H12" xr:uid="{00000000-0002-0000-0400-000001000000}">
      <formula1>"SUFFICIENT_FOR_COMPARISON,PARTIAL,MATERIAL_GAP,CONTRADICTED,UNRESOLVED"</formula1>
    </dataValidation>
    <dataValidation type="list" sqref="I5:I12" xr:uid="{00000000-0002-0000-0400-000002000000}">
      <formula1>"NONE,IMMATERIAL,RESOLVED,MATERIAL_UNRESOLVED"</formula1>
    </dataValidation>
    <dataValidation type="list" sqref="M5:M12" xr:uid="{00000000-0002-0000-0400-000003000000}">
      <formula1>"MEASURED,PARTIALLY_MEASURED,INFERRED,UNRESOLVED"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80"/>
  <sheetViews>
    <sheetView workbookViewId="0"/>
  </sheetViews>
  <sheetFormatPr defaultRowHeight="14.25"/>
  <cols>
    <col min="1" max="1" width="12" customWidth="1"/>
    <col min="2" max="3" width="14" customWidth="1"/>
    <col min="4" max="4" width="18" customWidth="1"/>
    <col min="5" max="5" width="24" customWidth="1"/>
    <col min="6" max="6" width="22" customWidth="1"/>
    <col min="7" max="7" width="24" customWidth="1"/>
    <col min="8" max="8" width="28" customWidth="1"/>
    <col min="9" max="9" width="20" customWidth="1"/>
    <col min="10" max="10" width="48" customWidth="1"/>
    <col min="12" max="15" width="17" customWidth="1"/>
    <col min="16" max="26" width="12" customWidth="1"/>
  </cols>
  <sheetData>
    <row r="1" spans="1:26" ht="33.950000000000003" customHeight="1">
      <c r="A1" s="5" t="s">
        <v>22</v>
      </c>
      <c r="B1" s="5"/>
      <c r="C1" s="5"/>
      <c r="D1" s="5"/>
      <c r="E1" s="5"/>
      <c r="F1" s="5"/>
      <c r="G1" s="5"/>
      <c r="H1" s="5"/>
      <c r="I1" s="5"/>
      <c r="J1" s="5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6" ht="30" customHeight="1">
      <c r="A2" s="6" t="s">
        <v>176</v>
      </c>
      <c r="B2" s="6"/>
      <c r="C2" s="6"/>
      <c r="D2" s="6"/>
      <c r="E2" s="6"/>
      <c r="F2" s="6"/>
      <c r="G2" s="6"/>
      <c r="H2" s="6"/>
      <c r="I2" s="6"/>
      <c r="J2" s="6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6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6">
      <c r="A4" s="8" t="s">
        <v>177</v>
      </c>
      <c r="B4" s="8" t="s">
        <v>178</v>
      </c>
      <c r="C4" s="8" t="s">
        <v>179</v>
      </c>
      <c r="D4" s="8" t="s">
        <v>180</v>
      </c>
      <c r="E4" s="8" t="s">
        <v>181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3"/>
      <c r="L4" s="7" t="s">
        <v>187</v>
      </c>
      <c r="M4" s="7" t="s">
        <v>188</v>
      </c>
      <c r="N4" s="7" t="s">
        <v>189</v>
      </c>
      <c r="O4" s="7" t="s">
        <v>190</v>
      </c>
      <c r="P4" s="14" t="s">
        <v>191</v>
      </c>
      <c r="Q4" s="14" t="s">
        <v>192</v>
      </c>
      <c r="R4" s="14" t="s">
        <v>193</v>
      </c>
      <c r="S4" s="14" t="s">
        <v>194</v>
      </c>
      <c r="T4" s="14" t="s">
        <v>195</v>
      </c>
      <c r="U4" s="14" t="s">
        <v>196</v>
      </c>
      <c r="V4" s="15" t="s">
        <v>197</v>
      </c>
      <c r="W4" s="15" t="s">
        <v>198</v>
      </c>
      <c r="X4" s="15" t="s">
        <v>199</v>
      </c>
      <c r="Y4" s="15" t="s">
        <v>200</v>
      </c>
      <c r="Z4" s="15" t="s">
        <v>201</v>
      </c>
    </row>
    <row r="5" spans="1:26" ht="247.5">
      <c r="A5" s="3" t="s">
        <v>202</v>
      </c>
      <c r="B5" s="3" t="s">
        <v>58</v>
      </c>
      <c r="C5" s="3" t="s">
        <v>59</v>
      </c>
      <c r="D5" s="3" t="s">
        <v>203</v>
      </c>
      <c r="E5" s="3" t="s">
        <v>204</v>
      </c>
      <c r="F5" s="3" t="s">
        <v>205</v>
      </c>
      <c r="G5" s="3" t="s">
        <v>170</v>
      </c>
      <c r="H5" s="3" t="s">
        <v>206</v>
      </c>
      <c r="I5" s="3" t="str">
        <f>IF(A5="","",IF(NOT(Y5),"UNRESOLVED",IF(R5,"DUPLICATE",IF(OR(E5="FUNCTIONAL_DUPLICATE",F5="DUPLICATE"),"DUPLICATE",IF(OR(E5="NESTED_CHILD",E5="NESTED_PARENT",E5="PARTIAL_DUPLICATE",F5="NESTED",F5="HEAVY_OVERLAP",F5="PARTIAL_OVERLAP"),"OVERLAPPING",IF(G5&lt;&gt;"NONE","DEPENDENT",IF(OR(E5="UNRESOLVED",F5="UNRESOLVED",G5="DEPENDENCY_UNRESOLVED",H5="UNRESOLVED"),"UNRESOLVED",IF(Z5,"OVERLAPPING",IF(NOT(X5),"NOT_COMPARABLE","COMPARABLE")))))))))</f>
        <v>COMPARABLE</v>
      </c>
      <c r="J5" s="3" t="str">
        <f>IF(A5="","",IF(I5="DUPLICATE","The live semantic signature or relationship state shows the same territory; do not count both independently.",IF(I5="NOT_COMPARABLE","Actual market, geography, language, decision horizon or business-model context is incompatible.",IF(I5="DEPENDENT","A prerequisite or shared dependency prevents ordinary head-to-head dominance.",IF(I5="OVERLAPPING",IF(Z5,"Cannibalization/substitution constrains additive portfolio interpretation.","Overlap, nesting or partial duplication constrains additive interpretation."),IF(I5="UNRESOLVED","Collect the bounded boundary/relationship evidence required to resolve comparison validity.","The live territory context is sufficiently compatible for pairwise comparison."))))))</f>
        <v>The live territory context is sufficiently compatible for pairwise comparison.</v>
      </c>
      <c r="K5" s="3"/>
      <c r="L5" s="3" t="b">
        <f>IF(LEN(TRIM(A5))=0,FALSE,OR(IFERROR(AND(LEN(TRIM(SUBSTITUTE(E5,CHAR(160)," ")))=LEN("FUNCTIONAL_DUPLICATE"),FIND("FUNCTIONAL_DUPLICATE",TRIM(SUBSTITUTE(E5,CHAR(160)," ")))=1),FALSE),IFERROR(AND(LEN(TRIM(SUBSTITUTE(F5,CHAR(160)," ")))=LEN("DUPLICATE"),FIND("DUPLICATE",TRIM(SUBSTITUTE(F5,CHAR(160)," ")))=1),FALSE)))</f>
        <v>0</v>
      </c>
      <c r="M5" s="3" t="b">
        <f>IF(LEN(TRIM(A5))=0,FALSE,OR(IFERROR(AND(LEN(TRIM(SUBSTITUTE(E5,CHAR(160)," ")))=LEN("NESTED_CHILD"),FIND("NESTED_CHILD",TRIM(SUBSTITUTE(E5,CHAR(160)," ")))=1),FALSE),IFERROR(AND(LEN(TRIM(SUBSTITUTE(E5,CHAR(160)," ")))=LEN("NESTED_PARENT"),FIND("NESTED_PARENT",TRIM(SUBSTITUTE(E5,CHAR(160)," ")))=1),FALSE),IFERROR(AND(LEN(TRIM(SUBSTITUTE(E5,CHAR(160)," ")))=LEN("PARTIAL_DUPLICATE"),FIND("PARTIAL_DUPLICATE",TRIM(SUBSTITUTE(E5,CHAR(160)," ")))=1),FALSE),IFERROR(AND(LEN(TRIM(SUBSTITUTE(F5,CHAR(160)," ")))=LEN("NESTED"),FIND("NESTED",TRIM(SUBSTITUTE(F5,CHAR(160)," ")))=1),FALSE),IFERROR(AND(LEN(TRIM(SUBSTITUTE(F5,CHAR(160)," ")))=LEN("HEAVY_OVERLAP"),FIND("HEAVY_OVERLAP",TRIM(SUBSTITUTE(F5,CHAR(160)," ")))=1),FALSE),IFERROR(AND(LEN(TRIM(SUBSTITUTE(F5,CHAR(160)," ")))=LEN("PARTIAL_OVERLAP"),FIND("PARTIAL_OVERLAP",TRIM(SUBSTITUTE(F5,CHAR(160)," ")))=1),FALSE)))</f>
        <v>0</v>
      </c>
      <c r="N5" s="3" t="b">
        <f>IF(LEN(TRIM(A5))=0,FALSE,NOT(IFERROR(AND(LEN(TRIM(SUBSTITUTE(G5,CHAR(160)," ")))=LEN("NONE"),FIND("NONE",TRIM(SUBSTITUTE(G5,CHAR(160)," ")))=1),FALSE)))</f>
        <v>0</v>
      </c>
      <c r="O5" s="3" t="b">
        <f>IF(LEN(TRIM(A5))=0,FALSE,OR(IFERROR(AND(LEN(TRIM(SUBSTITUTE(E5,CHAR(160)," ")))=LEN("UNRESOLVED"),FIND("UNRESOLVED",TRIM(SUBSTITUTE(E5,CHAR(160)," ")))=1),FALSE),IFERROR(AND(LEN(TRIM(SUBSTITUTE(F5,CHAR(160)," ")))=LEN("UNRESOLVED"),FIND("UNRESOLVED",TRIM(SUBSTITUTE(F5,CHAR(160)," ")))=1),FALSE),IFERROR(AND(LEN(TRIM(SUBSTITUTE(G5,CHAR(160)," ")))=LEN("DEPENDENCY_UNRESOLVED"),FIND("DEPENDENCY_UNRESOLVED",TRIM(SUBSTITUTE(G5,CHAR(160)," ")))=1),FALSE),IFERROR(AND(LEN(TRIM(SUBSTITUTE(H5,CHAR(160)," ")))=LEN("UNRESOLVED"),FIND("UNRESOLVED",TRIM(SUBSTITUTE(H5,CHAR(160)," ")))=1),FALSE)))</f>
        <v>0</v>
      </c>
      <c r="P5" s="14" t="str">
        <f>'Boundary &amp; Scope'!Q5</f>
        <v>Enterprise marketing leader × Needs defensible competitor intelligence before a strategic decision × Competitive Decision Intelligence service × B2B SaaS decision intelligence × United States × English × Commercial evaluation × Qualified pipeline × COMPARISON_ALTERNATIVE_TERRITORY</v>
      </c>
      <c r="Q5" s="14" t="str">
        <f>'Boundary &amp; Scope'!Q6</f>
        <v>Enterprise marketing leader × Needs to understand competitor analysis methods × Competitive Decision Intelligence service × B2B SaaS decision intelligence × United States × English × Informational education × Qualified pipeline × CONTENT_EDUCATION_TERRITORY</v>
      </c>
      <c r="R5" s="14" t="b">
        <f>AND(P5&lt;&gt;"",Q5&lt;&gt;"",P5=Q5)</f>
        <v>0</v>
      </c>
      <c r="S5" s="14" t="b">
        <f>IF(OR('Territory Register'!A5="",'Territory Register'!A6=""),FALSE,TRIM(SUBSTITUTE('Territory Register'!H5,CHAR(160)," "))=TRIM(SUBSTITUTE('Territory Register'!H6,CHAR(160)," ")))</f>
        <v>1</v>
      </c>
      <c r="T5" s="14" t="b">
        <f>IF(OR('Territory Register'!A5="",'Territory Register'!A6=""),FALSE,TRIM(SUBSTITUTE('Territory Register'!I5,CHAR(160)," "))=TRIM(SUBSTITUTE('Territory Register'!I6,CHAR(160)," ")))</f>
        <v>1</v>
      </c>
      <c r="U5" s="14" t="b">
        <f>IF(OR('Territory Register'!A5="",'Territory Register'!A6=""),FALSE,TRIM(SUBSTITUTE('Territory Register'!J5,CHAR(160)," "))=TRIM(SUBSTITUTE('Territory Register'!J6,CHAR(160)," ")))</f>
        <v>1</v>
      </c>
      <c r="V5" s="15" t="b">
        <f>IF(OR('Territory Register'!A5="",'Territory Register'!A6=""),FALSE,TRIM(SUBSTITUTE('Territory Register'!R5,CHAR(160)," "))=TRIM(SUBSTITUTE('Territory Register'!R6,CHAR(160)," ")))</f>
        <v>1</v>
      </c>
      <c r="W5" s="15" t="b">
        <f>IF(OR('Territory Register'!A5="",'Territory Register'!A6=""),FALSE,EXACT(TRIM(SUBSTITUTE('Territory Register'!D5,CHAR(160)," ")),TRIM(SUBSTITUTE('Territory Register'!D6,CHAR(160)," "))))</f>
        <v>1</v>
      </c>
      <c r="X5" s="15" t="b">
        <f>AND(S5,T5,U5,V5,W5)</f>
        <v>1</v>
      </c>
      <c r="Y5" s="15" t="b">
        <f>AND(OR('Boundary &amp; Scope'!P5="READY",'Boundary &amp; Scope'!P5="CAVEAT"),OR('Boundary &amp; Scope'!P6="READY",'Boundary &amp; Scope'!P6="CAVEAT"))</f>
        <v>1</v>
      </c>
      <c r="Z5" s="15" t="b">
        <f>OR(H5="TRUE_CANNIBALIZATION",H5="PARTIAL_SUBSTITUTION")</f>
        <v>0</v>
      </c>
    </row>
    <row r="6" spans="1:26" ht="247.5">
      <c r="A6" s="3" t="s">
        <v>207</v>
      </c>
      <c r="B6" s="3" t="s">
        <v>58</v>
      </c>
      <c r="C6" s="3" t="s">
        <v>60</v>
      </c>
      <c r="D6" s="3" t="s">
        <v>208</v>
      </c>
      <c r="E6" s="3" t="s">
        <v>204</v>
      </c>
      <c r="F6" s="3" t="s">
        <v>209</v>
      </c>
      <c r="G6" s="3" t="s">
        <v>210</v>
      </c>
      <c r="H6" s="3" t="s">
        <v>211</v>
      </c>
      <c r="I6" s="3" t="str">
        <f>IF(A6="","",IF(NOT(Y6),"UNRESOLVED",IF(R6,"DUPLICATE",IF(OR(E6="FUNCTIONAL_DUPLICATE",F6="DUPLICATE"),"DUPLICATE",IF(OR(E6="NESTED_CHILD",E6="NESTED_PARENT",E6="PARTIAL_DUPLICATE",F6="NESTED",F6="HEAVY_OVERLAP",F6="PARTIAL_OVERLAP"),"OVERLAPPING",IF(G6&lt;&gt;"NONE","DEPENDENT",IF(OR(E6="UNRESOLVED",F6="UNRESOLVED",G6="DEPENDENCY_UNRESOLVED",H6="UNRESOLVED"),"UNRESOLVED",IF(Z6,"OVERLAPPING",IF(NOT(X6),"NOT_COMPARABLE","COMPARABLE")))))))))</f>
        <v>DEPENDENT</v>
      </c>
      <c r="J6" s="3" t="str">
        <f>IF(A6="","",IF(I6="DUPLICATE","The live semantic signature or relationship state shows the same territory; do not count both independently.",IF(I6="NOT_COMPARABLE","Actual market, geography, language, decision horizon or business-model context is incompatible.",IF(I6="DEPENDENT","A prerequisite or shared dependency prevents ordinary head-to-head dominance.",IF(I6="OVERLAPPING",IF(Z6,"Cannibalization/substitution constrains additive portfolio interpretation.","Overlap, nesting or partial duplication constrains additive interpretation."),IF(I6="UNRESOLVED","Collect the bounded boundary/relationship evidence required to resolve comparison validity.","The live territory context is sufficiently compatible for pairwise comparison."))))))</f>
        <v>A prerequisite or shared dependency prevents ordinary head-to-head dominance.</v>
      </c>
      <c r="K6" s="3"/>
      <c r="L6" s="3" t="b">
        <f>IF(LEN(TRIM(A6))=0,FALSE,OR(IFERROR(AND(LEN(TRIM(SUBSTITUTE(E6,CHAR(160)," ")))=LEN("FUNCTIONAL_DUPLICATE"),FIND("FUNCTIONAL_DUPLICATE",TRIM(SUBSTITUTE(E6,CHAR(160)," ")))=1),FALSE),IFERROR(AND(LEN(TRIM(SUBSTITUTE(F6,CHAR(160)," ")))=LEN("DUPLICATE"),FIND("DUPLICATE",TRIM(SUBSTITUTE(F6,CHAR(160)," ")))=1),FALSE)))</f>
        <v>0</v>
      </c>
      <c r="M6" s="3" t="b">
        <f>IF(LEN(TRIM(A6))=0,FALSE,OR(IFERROR(AND(LEN(TRIM(SUBSTITUTE(E6,CHAR(160)," ")))=LEN("NESTED_CHILD"),FIND("NESTED_CHILD",TRIM(SUBSTITUTE(E6,CHAR(160)," ")))=1),FALSE),IFERROR(AND(LEN(TRIM(SUBSTITUTE(E6,CHAR(160)," ")))=LEN("NESTED_PARENT"),FIND("NESTED_PARENT",TRIM(SUBSTITUTE(E6,CHAR(160)," ")))=1),FALSE),IFERROR(AND(LEN(TRIM(SUBSTITUTE(E6,CHAR(160)," ")))=LEN("PARTIAL_DUPLICATE"),FIND("PARTIAL_DUPLICATE",TRIM(SUBSTITUTE(E6,CHAR(160)," ")))=1),FALSE),IFERROR(AND(LEN(TRIM(SUBSTITUTE(F6,CHAR(160)," ")))=LEN("NESTED"),FIND("NESTED",TRIM(SUBSTITUTE(F6,CHAR(160)," ")))=1),FALSE),IFERROR(AND(LEN(TRIM(SUBSTITUTE(F6,CHAR(160)," ")))=LEN("HEAVY_OVERLAP"),FIND("HEAVY_OVERLAP",TRIM(SUBSTITUTE(F6,CHAR(160)," ")))=1),FALSE),IFERROR(AND(LEN(TRIM(SUBSTITUTE(F6,CHAR(160)," ")))=LEN("PARTIAL_OVERLAP"),FIND("PARTIAL_OVERLAP",TRIM(SUBSTITUTE(F6,CHAR(160)," ")))=1),FALSE)))</f>
        <v>0</v>
      </c>
      <c r="N6" s="3" t="b">
        <f>IF(LEN(TRIM(A6))=0,FALSE,NOT(IFERROR(AND(LEN(TRIM(SUBSTITUTE(G6,CHAR(160)," ")))=LEN("NONE"),FIND("NONE",TRIM(SUBSTITUTE(G6,CHAR(160)," ")))=1),FALSE)))</f>
        <v>1</v>
      </c>
      <c r="O6" s="3" t="b">
        <f>IF(LEN(TRIM(A6))=0,FALSE,OR(IFERROR(AND(LEN(TRIM(SUBSTITUTE(E6,CHAR(160)," ")))=LEN("UNRESOLVED"),FIND("UNRESOLVED",TRIM(SUBSTITUTE(E6,CHAR(160)," ")))=1),FALSE),IFERROR(AND(LEN(TRIM(SUBSTITUTE(F6,CHAR(160)," ")))=LEN("UNRESOLVED"),FIND("UNRESOLVED",TRIM(SUBSTITUTE(F6,CHAR(160)," ")))=1),FALSE),IFERROR(AND(LEN(TRIM(SUBSTITUTE(G6,CHAR(160)," ")))=LEN("DEPENDENCY_UNRESOLVED"),FIND("DEPENDENCY_UNRESOLVED",TRIM(SUBSTITUTE(G6,CHAR(160)," ")))=1),FALSE),IFERROR(AND(LEN(TRIM(SUBSTITUTE(H6,CHAR(160)," ")))=LEN("UNRESOLVED"),FIND("UNRESOLVED",TRIM(SUBSTITUTE(H6,CHAR(160)," ")))=1),FALSE)))</f>
        <v>0</v>
      </c>
      <c r="P6" s="14" t="str">
        <f>'Boundary &amp; Scope'!Q5</f>
        <v>Enterprise marketing leader × Needs defensible competitor intelligence before a strategic decision × Competitive Decision Intelligence service × B2B SaaS decision intelligence × United States × English × Commercial evaluation × Qualified pipeline × COMPARISON_ALTERNATIVE_TERRITORY</v>
      </c>
      <c r="Q6" s="14" t="str">
        <f>'Boundary &amp; Scope'!Q7</f>
        <v>Enterprise marketing leader × Commercial pages are under-crawled or under-indexed × Competitive Decision Intelligence service × B2B SaaS decision intelligence × United States × English × Commercial evaluation × Qualified pipeline × TECHNICAL_RECOVERY_TERRITORY</v>
      </c>
      <c r="R6" s="14" t="b">
        <f>AND(P6&lt;&gt;"",Q6&lt;&gt;"",P6=Q6)</f>
        <v>0</v>
      </c>
      <c r="S6" s="14" t="b">
        <f>IF(OR('Territory Register'!A5="",'Territory Register'!A7=""),FALSE,TRIM(SUBSTITUTE('Territory Register'!H5,CHAR(160)," "))=TRIM(SUBSTITUTE('Territory Register'!H7,CHAR(160)," ")))</f>
        <v>1</v>
      </c>
      <c r="T6" s="14" t="b">
        <f>IF(OR('Territory Register'!A5="",'Territory Register'!A7=""),FALSE,TRIM(SUBSTITUTE('Territory Register'!I5,CHAR(160)," "))=TRIM(SUBSTITUTE('Territory Register'!I7,CHAR(160)," ")))</f>
        <v>1</v>
      </c>
      <c r="U6" s="14" t="b">
        <f>IF(OR('Territory Register'!A5="",'Territory Register'!A7=""),FALSE,TRIM(SUBSTITUTE('Territory Register'!J5,CHAR(160)," "))=TRIM(SUBSTITUTE('Territory Register'!J7,CHAR(160)," ")))</f>
        <v>1</v>
      </c>
      <c r="V6" s="15" t="b">
        <f>IF(OR('Territory Register'!A5="",'Territory Register'!A7=""),FALSE,TRIM(SUBSTITUTE('Territory Register'!R5,CHAR(160)," "))=TRIM(SUBSTITUTE('Territory Register'!R7,CHAR(160)," ")))</f>
        <v>1</v>
      </c>
      <c r="W6" s="15" t="b">
        <f>IF(OR('Territory Register'!A5="",'Territory Register'!A7=""),FALSE,EXACT(TRIM(SUBSTITUTE('Territory Register'!D5,CHAR(160)," ")),TRIM(SUBSTITUTE('Territory Register'!D7,CHAR(160)," "))))</f>
        <v>1</v>
      </c>
      <c r="X6" s="15" t="b">
        <f>AND(S6,T6,U6,V6,W6)</f>
        <v>1</v>
      </c>
      <c r="Y6" s="15" t="b">
        <f>AND(OR('Boundary &amp; Scope'!P5="READY",'Boundary &amp; Scope'!P5="CAVEAT"),OR('Boundary &amp; Scope'!P7="READY",'Boundary &amp; Scope'!P7="CAVEAT"))</f>
        <v>1</v>
      </c>
      <c r="Z6" s="15" t="b">
        <f>OR(H6="TRUE_CANNIBALIZATION",H6="PARTIAL_SUBSTITUTION")</f>
        <v>0</v>
      </c>
    </row>
    <row r="7" spans="1:26" ht="236.25">
      <c r="A7" s="3" t="s">
        <v>212</v>
      </c>
      <c r="B7" s="3" t="s">
        <v>59</v>
      </c>
      <c r="C7" s="3" t="s">
        <v>60</v>
      </c>
      <c r="D7" s="3" t="s">
        <v>213</v>
      </c>
      <c r="E7" s="3" t="s">
        <v>204</v>
      </c>
      <c r="F7" s="3" t="s">
        <v>205</v>
      </c>
      <c r="G7" s="3" t="s">
        <v>170</v>
      </c>
      <c r="H7" s="3" t="s">
        <v>206</v>
      </c>
      <c r="I7" s="3" t="str">
        <f>IF(A7="","",IF(NOT(Y7),"UNRESOLVED",IF(R7,"DUPLICATE",IF(OR(E7="FUNCTIONAL_DUPLICATE",F7="DUPLICATE"),"DUPLICATE",IF(OR(E7="NESTED_CHILD",E7="NESTED_PARENT",E7="PARTIAL_DUPLICATE",F7="NESTED",F7="HEAVY_OVERLAP",F7="PARTIAL_OVERLAP"),"OVERLAPPING",IF(G7&lt;&gt;"NONE","DEPENDENT",IF(OR(E7="UNRESOLVED",F7="UNRESOLVED",G7="DEPENDENCY_UNRESOLVED",H7="UNRESOLVED"),"UNRESOLVED",IF(Z7,"OVERLAPPING",IF(NOT(X7),"NOT_COMPARABLE","COMPARABLE")))))))))</f>
        <v>COMPARABLE</v>
      </c>
      <c r="J7" s="3" t="str">
        <f>IF(A7="","",IF(I7="DUPLICATE","The live semantic signature or relationship state shows the same territory; do not count both independently.",IF(I7="NOT_COMPARABLE","Actual market, geography, language, decision horizon or business-model context is incompatible.",IF(I7="DEPENDENT","A prerequisite or shared dependency prevents ordinary head-to-head dominance.",IF(I7="OVERLAPPING",IF(Z7,"Cannibalization/substitution constrains additive portfolio interpretation.","Overlap, nesting or partial duplication constrains additive interpretation."),IF(I7="UNRESOLVED","Collect the bounded boundary/relationship evidence required to resolve comparison validity.","The live territory context is sufficiently compatible for pairwise comparison."))))))</f>
        <v>The live territory context is sufficiently compatible for pairwise comparison.</v>
      </c>
      <c r="K7" s="3"/>
      <c r="L7" s="3" t="b">
        <f>IF(LEN(TRIM(A7))=0,FALSE,OR(IFERROR(AND(LEN(TRIM(SUBSTITUTE(E7,CHAR(160)," ")))=LEN("FUNCTIONAL_DUPLICATE"),FIND("FUNCTIONAL_DUPLICATE",TRIM(SUBSTITUTE(E7,CHAR(160)," ")))=1),FALSE),IFERROR(AND(LEN(TRIM(SUBSTITUTE(F7,CHAR(160)," ")))=LEN("DUPLICATE"),FIND("DUPLICATE",TRIM(SUBSTITUTE(F7,CHAR(160)," ")))=1),FALSE)))</f>
        <v>0</v>
      </c>
      <c r="M7" s="3" t="b">
        <f>IF(LEN(TRIM(A7))=0,FALSE,OR(IFERROR(AND(LEN(TRIM(SUBSTITUTE(E7,CHAR(160)," ")))=LEN("NESTED_CHILD"),FIND("NESTED_CHILD",TRIM(SUBSTITUTE(E7,CHAR(160)," ")))=1),FALSE),IFERROR(AND(LEN(TRIM(SUBSTITUTE(E7,CHAR(160)," ")))=LEN("NESTED_PARENT"),FIND("NESTED_PARENT",TRIM(SUBSTITUTE(E7,CHAR(160)," ")))=1),FALSE),IFERROR(AND(LEN(TRIM(SUBSTITUTE(E7,CHAR(160)," ")))=LEN("PARTIAL_DUPLICATE"),FIND("PARTIAL_DUPLICATE",TRIM(SUBSTITUTE(E7,CHAR(160)," ")))=1),FALSE),IFERROR(AND(LEN(TRIM(SUBSTITUTE(F7,CHAR(160)," ")))=LEN("NESTED"),FIND("NESTED",TRIM(SUBSTITUTE(F7,CHAR(160)," ")))=1),FALSE),IFERROR(AND(LEN(TRIM(SUBSTITUTE(F7,CHAR(160)," ")))=LEN("HEAVY_OVERLAP"),FIND("HEAVY_OVERLAP",TRIM(SUBSTITUTE(F7,CHAR(160)," ")))=1),FALSE),IFERROR(AND(LEN(TRIM(SUBSTITUTE(F7,CHAR(160)," ")))=LEN("PARTIAL_OVERLAP"),FIND("PARTIAL_OVERLAP",TRIM(SUBSTITUTE(F7,CHAR(160)," ")))=1),FALSE)))</f>
        <v>0</v>
      </c>
      <c r="N7" s="3" t="b">
        <f>IF(LEN(TRIM(A7))=0,FALSE,NOT(IFERROR(AND(LEN(TRIM(SUBSTITUTE(G7,CHAR(160)," ")))=LEN("NONE"),FIND("NONE",TRIM(SUBSTITUTE(G7,CHAR(160)," ")))=1),FALSE)))</f>
        <v>0</v>
      </c>
      <c r="O7" s="3" t="b">
        <f>IF(LEN(TRIM(A7))=0,FALSE,OR(IFERROR(AND(LEN(TRIM(SUBSTITUTE(E7,CHAR(160)," ")))=LEN("UNRESOLVED"),FIND("UNRESOLVED",TRIM(SUBSTITUTE(E7,CHAR(160)," ")))=1),FALSE),IFERROR(AND(LEN(TRIM(SUBSTITUTE(F7,CHAR(160)," ")))=LEN("UNRESOLVED"),FIND("UNRESOLVED",TRIM(SUBSTITUTE(F7,CHAR(160)," ")))=1),FALSE),IFERROR(AND(LEN(TRIM(SUBSTITUTE(G7,CHAR(160)," ")))=LEN("DEPENDENCY_UNRESOLVED"),FIND("DEPENDENCY_UNRESOLVED",TRIM(SUBSTITUTE(G7,CHAR(160)," ")))=1),FALSE),IFERROR(AND(LEN(TRIM(SUBSTITUTE(H7,CHAR(160)," ")))=LEN("UNRESOLVED"),FIND("UNRESOLVED",TRIM(SUBSTITUTE(H7,CHAR(160)," ")))=1),FALSE)))</f>
        <v>0</v>
      </c>
      <c r="P7" s="14" t="str">
        <f>'Boundary &amp; Scope'!Q6</f>
        <v>Enterprise marketing leader × Needs to understand competitor analysis methods × Competitive Decision Intelligence service × B2B SaaS decision intelligence × United States × English × Informational education × Qualified pipeline × CONTENT_EDUCATION_TERRITORY</v>
      </c>
      <c r="Q7" s="14" t="str">
        <f>'Boundary &amp; Scope'!Q7</f>
        <v>Enterprise marketing leader × Commercial pages are under-crawled or under-indexed × Competitive Decision Intelligence service × B2B SaaS decision intelligence × United States × English × Commercial evaluation × Qualified pipeline × TECHNICAL_RECOVERY_TERRITORY</v>
      </c>
      <c r="R7" s="14" t="b">
        <f>AND(P7&lt;&gt;"",Q7&lt;&gt;"",P7=Q7)</f>
        <v>0</v>
      </c>
      <c r="S7" s="14" t="b">
        <f>IF(OR('Territory Register'!A6="",'Territory Register'!A7=""),FALSE,TRIM(SUBSTITUTE('Territory Register'!H6,CHAR(160)," "))=TRIM(SUBSTITUTE('Territory Register'!H7,CHAR(160)," ")))</f>
        <v>1</v>
      </c>
      <c r="T7" s="14" t="b">
        <f>IF(OR('Territory Register'!A6="",'Territory Register'!A7=""),FALSE,TRIM(SUBSTITUTE('Territory Register'!I6,CHAR(160)," "))=TRIM(SUBSTITUTE('Territory Register'!I7,CHAR(160)," ")))</f>
        <v>1</v>
      </c>
      <c r="U7" s="14" t="b">
        <f>IF(OR('Territory Register'!A6="",'Territory Register'!A7=""),FALSE,TRIM(SUBSTITUTE('Territory Register'!J6,CHAR(160)," "))=TRIM(SUBSTITUTE('Territory Register'!J7,CHAR(160)," ")))</f>
        <v>1</v>
      </c>
      <c r="V7" s="15" t="b">
        <f>IF(OR('Territory Register'!A6="",'Territory Register'!A7=""),FALSE,TRIM(SUBSTITUTE('Territory Register'!R6,CHAR(160)," "))=TRIM(SUBSTITUTE('Territory Register'!R7,CHAR(160)," ")))</f>
        <v>1</v>
      </c>
      <c r="W7" s="15" t="b">
        <f>IF(OR('Territory Register'!A6="",'Territory Register'!A7=""),FALSE,EXACT(TRIM(SUBSTITUTE('Territory Register'!D6,CHAR(160)," ")),TRIM(SUBSTITUTE('Territory Register'!D7,CHAR(160)," "))))</f>
        <v>1</v>
      </c>
      <c r="X7" s="15" t="b">
        <f>AND(S7,T7,U7,V7,W7)</f>
        <v>1</v>
      </c>
      <c r="Y7" s="15" t="b">
        <f>AND(OR('Boundary &amp; Scope'!P6="READY",'Boundary &amp; Scope'!P6="CAVEAT"),OR('Boundary &amp; Scope'!P7="READY",'Boundary &amp; Scope'!P7="CAVEAT"))</f>
        <v>1</v>
      </c>
      <c r="Z7" s="15" t="b">
        <f>OR(H7="TRUE_CANNIBALIZATION",H7="PARTIAL_SUBSTITUTION")</f>
        <v>0</v>
      </c>
    </row>
    <row r="8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11" t="s">
        <v>214</v>
      </c>
      <c r="M14" s="11"/>
      <c r="N14" s="11"/>
      <c r="O14" s="11"/>
      <c r="P14" s="3"/>
      <c r="Q14" s="3"/>
      <c r="R14" s="3"/>
      <c r="S14" s="3"/>
      <c r="T14" s="3"/>
      <c r="U14" s="3"/>
    </row>
    <row r="15" spans="1:26" ht="2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11" t="s">
        <v>215</v>
      </c>
      <c r="M15" s="11" t="s">
        <v>216</v>
      </c>
      <c r="N15" s="11" t="s">
        <v>217</v>
      </c>
      <c r="O15" s="11" t="s">
        <v>218</v>
      </c>
      <c r="P15" s="3"/>
      <c r="Q15" s="3"/>
      <c r="R15" s="3"/>
      <c r="S15" s="3"/>
      <c r="T15" s="3"/>
      <c r="U15" s="3"/>
    </row>
    <row r="16" spans="1:26" ht="24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11" t="s">
        <v>219</v>
      </c>
      <c r="M16" s="11" t="s">
        <v>220</v>
      </c>
      <c r="N16" s="11" t="s">
        <v>221</v>
      </c>
      <c r="O16" s="11" t="s">
        <v>222</v>
      </c>
      <c r="P16" s="3"/>
      <c r="Q16" s="3"/>
      <c r="R16" s="3"/>
      <c r="S16" s="3"/>
      <c r="T16" s="3"/>
      <c r="U16" s="3"/>
    </row>
    <row r="17" spans="1:2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1" t="s">
        <v>223</v>
      </c>
      <c r="M17" s="11" t="s">
        <v>224</v>
      </c>
      <c r="N17" s="11" t="s">
        <v>225</v>
      </c>
      <c r="O17" s="11" t="s">
        <v>226</v>
      </c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dataValidations count="4">
    <dataValidation type="list" sqref="E5:E12" xr:uid="{00000000-0002-0000-0500-000000000000}">
      <formula1>"DISTINCT,ADJACENT,PARTIAL_DUPLICATE,FUNCTIONAL_DUPLICATE,NESTED_CHILD,NESTED_PARENT,UNRESOLVED"</formula1>
    </dataValidation>
    <dataValidation type="list" sqref="F5:F12" xr:uid="{00000000-0002-0000-0500-000001000000}">
      <formula1>"INDEPENDENT,ADJACENT,PARTIAL_OVERLAP,HEAVY_OVERLAP,NESTED,DUPLICATE,UNRESOLVED"</formula1>
    </dataValidation>
    <dataValidation type="list" sqref="G5:G12" xr:uid="{00000000-0002-0000-0500-000002000000}">
      <formula1>"NONE,A_DEPENDS_ON_B,B_DEPENDS_ON_A,SHARED_PREREQUISITE,MUTUAL_DEPENDENCY,DEPENDENCY_UNRESOLVED"</formula1>
    </dataValidation>
    <dataValidation type="list" sqref="H5:H12" xr:uid="{00000000-0002-0000-0500-000003000000}">
      <formula1>"TRUE_CANNIBALIZATION,PARTIAL_SUBSTITUTION,COMPLEMENTARY_COVERAGE,NO_MATERIAL_CONFLICT,UNRESOLVED"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80"/>
  <sheetViews>
    <sheetView workbookViewId="0"/>
  </sheetViews>
  <sheetFormatPr defaultRowHeight="14.25"/>
  <cols>
    <col min="1" max="1" width="30" customWidth="1"/>
    <col min="2" max="7" width="24" customWidth="1"/>
    <col min="9" max="11" width="15" customWidth="1"/>
  </cols>
  <sheetData>
    <row r="1" spans="1:21" ht="39.950000000000003" customHeight="1">
      <c r="A1" s="5" t="s">
        <v>27</v>
      </c>
      <c r="B1" s="5"/>
      <c r="C1" s="5"/>
      <c r="D1" s="5"/>
      <c r="E1" s="5"/>
      <c r="F1" s="5"/>
      <c r="G1" s="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9.950000000000003" customHeight="1">
      <c r="A2" s="6" t="s">
        <v>227</v>
      </c>
      <c r="B2" s="6"/>
      <c r="C2" s="6"/>
      <c r="D2" s="6"/>
      <c r="E2" s="6"/>
      <c r="F2" s="6"/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8" t="s">
        <v>228</v>
      </c>
      <c r="B4" s="8" t="s">
        <v>178</v>
      </c>
      <c r="C4" s="8" t="s">
        <v>179</v>
      </c>
      <c r="D4" s="8" t="s">
        <v>229</v>
      </c>
      <c r="E4" s="8" t="s">
        <v>230</v>
      </c>
      <c r="F4" s="8" t="s">
        <v>231</v>
      </c>
      <c r="G4" s="8" t="s">
        <v>232</v>
      </c>
      <c r="H4" s="3"/>
      <c r="I4" s="8" t="s">
        <v>233</v>
      </c>
      <c r="J4" s="8" t="s">
        <v>234</v>
      </c>
      <c r="K4" s="8" t="s">
        <v>235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3" t="s">
        <v>236</v>
      </c>
      <c r="B5" s="3" t="s">
        <v>237</v>
      </c>
      <c r="C5" s="3" t="s">
        <v>238</v>
      </c>
      <c r="D5" s="3" t="s">
        <v>237</v>
      </c>
      <c r="E5" s="3" t="str">
        <f t="shared" ref="E5:E12" si="0">IF(OR(I5=0,J5=0),"UNRESOLVED",IF(I5=J5,"EQUAL",IF(I5&gt;J5,"A_STRONGER","B_STRONGER")))</f>
        <v>A_STRONGER</v>
      </c>
      <c r="F5" s="3" t="str">
        <f t="shared" ref="F5:F12" si="1">IF(OR(I5=0,K5=0),"UNRESOLVED",IF(I5=K5,"EQUAL",IF(I5&gt;K5,"A_STRONGER","C_STRONGER")))</f>
        <v>EQUAL</v>
      </c>
      <c r="G5" s="3" t="str">
        <f t="shared" ref="G5:G12" si="2">IF(OR(J5=0,K5=0),"UNRESOLVED",IF(J5=K5,"EQUAL",IF(J5&gt;K5,"B_STRONGER","C_STRONGER")))</f>
        <v>C_STRONGER</v>
      </c>
      <c r="H5" s="3"/>
      <c r="I5" s="10">
        <f t="shared" ref="I5:K12" si="3">IF(IFERROR(AND(LEN(TRIM(SUBSTITUTE(B5,CHAR(160)," ")))=LEN("WEAK"),FIND("WEAK",TRIM(SUBSTITUTE(B5,CHAR(160)," ")))=1),FALSE),1,IF(IFERROR(AND(LEN(TRIM(SUBSTITUTE(B5,CHAR(160)," ")))=LEN("MODERATE"),FIND("MODERATE",TRIM(SUBSTITUTE(B5,CHAR(160)," ")))=1),FALSE),2,IF(IFERROR(AND(LEN(TRIM(SUBSTITUTE(B5,CHAR(160)," ")))=LEN("STRONG"),FIND("STRONG",TRIM(SUBSTITUTE(B5,CHAR(160)," ")))=1),FALSE),3,0)))</f>
        <v>3</v>
      </c>
      <c r="J5" s="10">
        <f t="shared" si="3"/>
        <v>2</v>
      </c>
      <c r="K5" s="10">
        <f t="shared" si="3"/>
        <v>3</v>
      </c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3" t="s">
        <v>239</v>
      </c>
      <c r="B6" s="3" t="s">
        <v>237</v>
      </c>
      <c r="C6" s="3" t="s">
        <v>238</v>
      </c>
      <c r="D6" s="3" t="s">
        <v>237</v>
      </c>
      <c r="E6" s="3" t="str">
        <f t="shared" si="0"/>
        <v>A_STRONGER</v>
      </c>
      <c r="F6" s="3" t="str">
        <f t="shared" si="1"/>
        <v>EQUAL</v>
      </c>
      <c r="G6" s="3" t="str">
        <f t="shared" si="2"/>
        <v>C_STRONGER</v>
      </c>
      <c r="H6" s="3"/>
      <c r="I6" s="10">
        <f t="shared" si="3"/>
        <v>3</v>
      </c>
      <c r="J6" s="10">
        <f t="shared" si="3"/>
        <v>2</v>
      </c>
      <c r="K6" s="10">
        <f t="shared" si="3"/>
        <v>3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3" t="s">
        <v>240</v>
      </c>
      <c r="B7" s="3" t="s">
        <v>237</v>
      </c>
      <c r="C7" s="3" t="s">
        <v>238</v>
      </c>
      <c r="D7" s="3" t="s">
        <v>237</v>
      </c>
      <c r="E7" s="3" t="str">
        <f t="shared" si="0"/>
        <v>A_STRONGER</v>
      </c>
      <c r="F7" s="3" t="str">
        <f t="shared" si="1"/>
        <v>EQUAL</v>
      </c>
      <c r="G7" s="3" t="str">
        <f t="shared" si="2"/>
        <v>C_STRONGER</v>
      </c>
      <c r="H7" s="3"/>
      <c r="I7" s="10">
        <f t="shared" si="3"/>
        <v>3</v>
      </c>
      <c r="J7" s="10">
        <f t="shared" si="3"/>
        <v>2</v>
      </c>
      <c r="K7" s="10">
        <f t="shared" si="3"/>
        <v>3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3" t="s">
        <v>241</v>
      </c>
      <c r="B8" s="3" t="s">
        <v>237</v>
      </c>
      <c r="C8" s="3" t="s">
        <v>242</v>
      </c>
      <c r="D8" s="3" t="s">
        <v>237</v>
      </c>
      <c r="E8" s="3" t="str">
        <f t="shared" si="0"/>
        <v>A_STRONGER</v>
      </c>
      <c r="F8" s="3" t="str">
        <f t="shared" si="1"/>
        <v>EQUAL</v>
      </c>
      <c r="G8" s="3" t="str">
        <f t="shared" si="2"/>
        <v>C_STRONGER</v>
      </c>
      <c r="H8" s="3"/>
      <c r="I8" s="10">
        <f t="shared" si="3"/>
        <v>3</v>
      </c>
      <c r="J8" s="10">
        <f t="shared" si="3"/>
        <v>1</v>
      </c>
      <c r="K8" s="10">
        <f t="shared" si="3"/>
        <v>3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 t="s">
        <v>243</v>
      </c>
      <c r="B9" s="3" t="s">
        <v>238</v>
      </c>
      <c r="C9" s="3" t="s">
        <v>242</v>
      </c>
      <c r="D9" s="3" t="s">
        <v>238</v>
      </c>
      <c r="E9" s="3" t="str">
        <f t="shared" si="0"/>
        <v>A_STRONGER</v>
      </c>
      <c r="F9" s="3" t="str">
        <f t="shared" si="1"/>
        <v>EQUAL</v>
      </c>
      <c r="G9" s="3" t="str">
        <f t="shared" si="2"/>
        <v>C_STRONGER</v>
      </c>
      <c r="H9" s="3"/>
      <c r="I9" s="10">
        <f t="shared" si="3"/>
        <v>2</v>
      </c>
      <c r="J9" s="10">
        <f t="shared" si="3"/>
        <v>1</v>
      </c>
      <c r="K9" s="10">
        <f t="shared" si="3"/>
        <v>2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244</v>
      </c>
      <c r="B10" s="3" t="s">
        <v>238</v>
      </c>
      <c r="C10" s="3" t="s">
        <v>237</v>
      </c>
      <c r="D10" s="3" t="s">
        <v>238</v>
      </c>
      <c r="E10" s="3" t="str">
        <f t="shared" si="0"/>
        <v>B_STRONGER</v>
      </c>
      <c r="F10" s="3" t="str">
        <f t="shared" si="1"/>
        <v>EQUAL</v>
      </c>
      <c r="G10" s="3" t="str">
        <f t="shared" si="2"/>
        <v>B_STRONGER</v>
      </c>
      <c r="H10" s="3"/>
      <c r="I10" s="10">
        <f t="shared" si="3"/>
        <v>2</v>
      </c>
      <c r="J10" s="10">
        <f t="shared" si="3"/>
        <v>3</v>
      </c>
      <c r="K10" s="10">
        <f t="shared" si="3"/>
        <v>2</v>
      </c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 t="s">
        <v>245</v>
      </c>
      <c r="B11" s="3" t="s">
        <v>238</v>
      </c>
      <c r="C11" s="3" t="s">
        <v>242</v>
      </c>
      <c r="D11" s="3" t="s">
        <v>237</v>
      </c>
      <c r="E11" s="3" t="str">
        <f t="shared" si="0"/>
        <v>A_STRONGER</v>
      </c>
      <c r="F11" s="3" t="str">
        <f t="shared" si="1"/>
        <v>C_STRONGER</v>
      </c>
      <c r="G11" s="3" t="str">
        <f t="shared" si="2"/>
        <v>C_STRONGER</v>
      </c>
      <c r="H11" s="3"/>
      <c r="I11" s="10">
        <f t="shared" si="3"/>
        <v>2</v>
      </c>
      <c r="J11" s="10">
        <f t="shared" si="3"/>
        <v>1</v>
      </c>
      <c r="K11" s="10">
        <f t="shared" si="3"/>
        <v>3</v>
      </c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 t="s">
        <v>246</v>
      </c>
      <c r="B12" s="3" t="s">
        <v>237</v>
      </c>
      <c r="C12" s="3" t="s">
        <v>238</v>
      </c>
      <c r="D12" s="3" t="s">
        <v>237</v>
      </c>
      <c r="E12" s="3" t="str">
        <f t="shared" si="0"/>
        <v>A_STRONGER</v>
      </c>
      <c r="F12" s="3" t="str">
        <f t="shared" si="1"/>
        <v>EQUAL</v>
      </c>
      <c r="G12" s="3" t="str">
        <f t="shared" si="2"/>
        <v>C_STRONGER</v>
      </c>
      <c r="H12" s="3"/>
      <c r="I12" s="10">
        <f t="shared" si="3"/>
        <v>3</v>
      </c>
      <c r="J12" s="10">
        <f t="shared" si="3"/>
        <v>2</v>
      </c>
      <c r="K12" s="10">
        <f t="shared" si="3"/>
        <v>3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4" customHeight="1">
      <c r="A14" s="4" t="s">
        <v>61</v>
      </c>
      <c r="B14" s="4"/>
      <c r="C14" s="4"/>
      <c r="D14" s="4"/>
      <c r="E14" s="4"/>
      <c r="F14" s="4"/>
      <c r="G14" s="4"/>
      <c r="H14" s="3"/>
      <c r="I14" s="11" t="s">
        <v>214</v>
      </c>
      <c r="J14" s="11"/>
      <c r="K14" s="11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56.1" customHeight="1">
      <c r="A15" s="4" t="s">
        <v>230</v>
      </c>
      <c r="B15" s="4"/>
      <c r="C15" s="4"/>
      <c r="D15" s="4"/>
      <c r="E15" s="4" t="s">
        <v>247</v>
      </c>
      <c r="F15" s="4"/>
      <c r="G15" s="4"/>
      <c r="H15" s="3"/>
      <c r="I15" s="11" t="s">
        <v>248</v>
      </c>
      <c r="J15" s="11" t="s">
        <v>249</v>
      </c>
      <c r="K15" s="11" t="s">
        <v>250</v>
      </c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56.1" customHeight="1">
      <c r="A16" s="4" t="s">
        <v>231</v>
      </c>
      <c r="B16" s="4"/>
      <c r="C16" s="4"/>
      <c r="D16" s="4"/>
      <c r="E16" s="4"/>
      <c r="F16" s="4" t="s">
        <v>251</v>
      </c>
      <c r="G16" s="4"/>
      <c r="H16" s="3"/>
      <c r="I16" s="11" t="s">
        <v>252</v>
      </c>
      <c r="J16" s="11" t="s">
        <v>253</v>
      </c>
      <c r="K16" s="11" t="s">
        <v>254</v>
      </c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56.1" customHeight="1">
      <c r="A17" s="4" t="s">
        <v>232</v>
      </c>
      <c r="B17" s="4"/>
      <c r="C17" s="4"/>
      <c r="D17" s="4"/>
      <c r="E17" s="4"/>
      <c r="F17" s="4"/>
      <c r="G17" s="4" t="s">
        <v>255</v>
      </c>
      <c r="H17" s="3"/>
      <c r="I17" s="11" t="s">
        <v>256</v>
      </c>
      <c r="J17" s="11" t="s">
        <v>257</v>
      </c>
      <c r="K17" s="11" t="s">
        <v>258</v>
      </c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56.1" customHeight="1">
      <c r="A18" s="4" t="s">
        <v>259</v>
      </c>
      <c r="B18" s="4"/>
      <c r="C18" s="4"/>
      <c r="D18" s="4"/>
      <c r="E18" s="4" t="s">
        <v>260</v>
      </c>
      <c r="F18" s="4"/>
      <c r="G18" s="4"/>
      <c r="H18" s="3"/>
      <c r="I18" s="11" t="s">
        <v>261</v>
      </c>
      <c r="J18" s="11" t="s">
        <v>262</v>
      </c>
      <c r="K18" s="11" t="s">
        <v>263</v>
      </c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dataValidations count="1">
    <dataValidation type="list" sqref="B5:D12" xr:uid="{00000000-0002-0000-0600-000000000000}">
      <formula1>"WEAK,MODERATE,STRONG,UNRESOLVED"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0"/>
  <sheetViews>
    <sheetView workbookViewId="0"/>
  </sheetViews>
  <sheetFormatPr defaultRowHeight="14.25"/>
  <cols>
    <col min="1" max="1" width="22" customWidth="1"/>
    <col min="2" max="2" width="38" customWidth="1"/>
    <col min="3" max="5" width="22" customWidth="1"/>
    <col min="6" max="6" width="42" customWidth="1"/>
    <col min="7" max="7" width="15" customWidth="1"/>
    <col min="8" max="9" width="28" customWidth="1"/>
    <col min="10" max="10" width="48" customWidth="1"/>
  </cols>
  <sheetData>
    <row r="1" spans="1:21" ht="42" customHeight="1">
      <c r="A1" s="5" t="s">
        <v>32</v>
      </c>
      <c r="B1" s="5"/>
      <c r="C1" s="5"/>
      <c r="D1" s="5"/>
      <c r="E1" s="5"/>
      <c r="F1" s="5"/>
      <c r="G1" s="5"/>
      <c r="H1" s="5"/>
      <c r="I1" s="5"/>
      <c r="J1" s="5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42" customHeight="1">
      <c r="A2" s="6" t="s">
        <v>264</v>
      </c>
      <c r="B2" s="6"/>
      <c r="C2" s="6"/>
      <c r="D2" s="6"/>
      <c r="E2" s="6"/>
      <c r="F2" s="6"/>
      <c r="G2" s="6"/>
      <c r="H2" s="6"/>
      <c r="I2" s="6"/>
      <c r="J2" s="6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8" t="s">
        <v>265</v>
      </c>
      <c r="B4" s="8" t="s">
        <v>68</v>
      </c>
      <c r="C4" s="8" t="s">
        <v>266</v>
      </c>
      <c r="D4" s="8" t="s">
        <v>267</v>
      </c>
      <c r="E4" s="8" t="s">
        <v>71</v>
      </c>
      <c r="F4" s="8" t="s">
        <v>74</v>
      </c>
      <c r="G4" s="8" t="s">
        <v>268</v>
      </c>
      <c r="H4" s="8" t="s">
        <v>80</v>
      </c>
      <c r="I4" s="8" t="s">
        <v>82</v>
      </c>
      <c r="J4" s="8" t="s">
        <v>166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3" t="str">
        <f>'Overlap &amp; Dependency'!D5</f>
        <v>T-A ↔ T-B</v>
      </c>
      <c r="B5" s="3" t="str">
        <f>'Overlap &amp; Dependency'!I5</f>
        <v>COMPARABLE</v>
      </c>
      <c r="C5" s="3" t="str">
        <f>IF(OR('Commercial Path Evidence'!H5="MATERIAL_GAP",'Commercial Path Evidence'!H5="CONTRADICTED",'Commercial Path Evidence'!H5="UNRESOLVED",'Commercial Path Evidence'!H6="MATERIAL_GAP",'Commercial Path Evidence'!H6="CONTRADICTED",'Commercial Path Evidence'!H6="UNRESOLVED",'Commercial Path Evidence'!I5="MATERIAL_UNRESOLVED",'Commercial Path Evidence'!I6="MATERIAL_UNRESOLVED",COUNTIF('Commercial Path Evidence'!C5:G5,"UNRESOLVED")+COUNTIF('Commercial Path Evidence'!C5:G5,"CONTRADICTED")+COUNTIF('Commercial Path Evidence'!C6:G6,"UNRESOLVED")+COUNTIF('Commercial Path Evidence'!C6:G6,"CONTRADICTED")&gt;0),"YES","NO")</f>
        <v>NO</v>
      </c>
      <c r="D5" s="3" t="str">
        <f>IF(COUNTIF('Comparison Matrix'!E$5:E$12,"UNRESOLVED")&gt;0,"UNRESOLVED",IF(AND(COUNTIF('Comparison Matrix'!E$5:E$12,"B_STRONGER")=0,COUNTIF('Comparison Matrix'!E$5:E$12,"A_STRONGER")&gt;0),"A_DOMINATES_B",IF(AND(COUNTIF('Comparison Matrix'!E$5:E$12,"A_STRONGER")=0,COUNTIF('Comparison Matrix'!E$5:E$12,"B_STRONGER")&gt;0),"B_DOMINATES_A","TRADE_OFFS_REMAIN")))</f>
        <v>TRADE_OFFS_REMAIN</v>
      </c>
      <c r="E5" s="3" t="str">
        <f>IF(B5&lt;&gt;"COMPARABLE",B5,IF(C5="YES","UNRESOLVED",D5))</f>
        <v>TRADE_OFFS_REMAIN</v>
      </c>
      <c r="F5" s="3" t="str">
        <f>IF(E5="NOT_COMPARABLE","The live territory context is not comparable.",IF(E5="DUPLICATE","Semantic duplicate: do not count both independently.",IF(E5="DEPENDENT","Prerequisite/shared dependency prevents direct dominance.",IF(E5="OVERLAPPING","Overlap or cannibalization constrains additive interpretation.",IF(E5="UNRESOLVED","Material structural or evidence state remains unresolved.",IF(OR(E5="A_DOMINATES_B",E5="A_DOMINATES_C",E5="B_DOMINATES_A",E5="B_DOMINATES_C",E5="C_DOMINATES_A",E5="C_DOMINATES_B"),"One territory is no worse on every required comparable dimension and materially stronger on at least one.","Each territory retains at least one material advantage."))))))</f>
        <v>Each territory retains at least one material advantage.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5.5">
      <c r="A6" s="3" t="str">
        <f>'Overlap &amp; Dependency'!D6</f>
        <v>T-A ↔ T-C</v>
      </c>
      <c r="B6" s="3" t="str">
        <f>'Overlap &amp; Dependency'!I6</f>
        <v>DEPENDENT</v>
      </c>
      <c r="C6" s="3" t="str">
        <f>IF(OR('Commercial Path Evidence'!H5="MATERIAL_GAP",'Commercial Path Evidence'!H5="CONTRADICTED",'Commercial Path Evidence'!H5="UNRESOLVED",'Commercial Path Evidence'!H7="MATERIAL_GAP",'Commercial Path Evidence'!H7="CONTRADICTED",'Commercial Path Evidence'!H7="UNRESOLVED",'Commercial Path Evidence'!I5="MATERIAL_UNRESOLVED",'Commercial Path Evidence'!I7="MATERIAL_UNRESOLVED",COUNTIF('Commercial Path Evidence'!C5:G5,"UNRESOLVED")+COUNTIF('Commercial Path Evidence'!C5:G5,"CONTRADICTED")+COUNTIF('Commercial Path Evidence'!C7:G7,"UNRESOLVED")+COUNTIF('Commercial Path Evidence'!C7:G7,"CONTRADICTED")&gt;0),"YES","NO")</f>
        <v>NO</v>
      </c>
      <c r="D6" s="3" t="str">
        <f>IF(COUNTIF('Comparison Matrix'!F$5:F$12,"UNRESOLVED")&gt;0,"UNRESOLVED",IF(AND(COUNTIF('Comparison Matrix'!F$5:F$12,"C_STRONGER")=0,COUNTIF('Comparison Matrix'!F$5:F$12,"A_STRONGER")&gt;0),"A_DOMINATES_C",IF(AND(COUNTIF('Comparison Matrix'!F$5:F$12,"A_STRONGER")=0,COUNTIF('Comparison Matrix'!F$5:F$12,"C_STRONGER")&gt;0),"C_DOMINATES_A","TRADE_OFFS_REMAIN")))</f>
        <v>C_DOMINATES_A</v>
      </c>
      <c r="E6" s="3" t="str">
        <f>IF(B6&lt;&gt;"COMPARABLE",B6,IF(C6="YES","UNRESOLVED",D6))</f>
        <v>DEPENDENT</v>
      </c>
      <c r="F6" s="3" t="str">
        <f>IF(E6="NOT_COMPARABLE","The live territory context is not comparable.",IF(E6="DUPLICATE","Semantic duplicate: do not count both independently.",IF(E6="DEPENDENT","Prerequisite/shared dependency prevents direct dominance.",IF(E6="OVERLAPPING","Overlap or cannibalization constrains additive interpretation.",IF(E6="UNRESOLVED","Material structural or evidence state remains unresolved.",IF(OR(E6="A_DOMINATES_B",E6="A_DOMINATES_C",E6="B_DOMINATES_A",E6="B_DOMINATES_C",E6="C_DOMINATES_A",E6="C_DOMINATES_B"),"One territory is no worse on every required comparable dimension and materially stronger on at least one.","Each territory retains at least one material advantage."))))))</f>
        <v>Prerequisite/shared dependency prevents direct dominance.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3" t="str">
        <f>'Overlap &amp; Dependency'!D7</f>
        <v>T-B ↔ T-C</v>
      </c>
      <c r="B7" s="3" t="str">
        <f>'Overlap &amp; Dependency'!I7</f>
        <v>COMPARABLE</v>
      </c>
      <c r="C7" s="3" t="str">
        <f>IF(OR('Commercial Path Evidence'!H6="MATERIAL_GAP",'Commercial Path Evidence'!H6="CONTRADICTED",'Commercial Path Evidence'!H6="UNRESOLVED",'Commercial Path Evidence'!H7="MATERIAL_GAP",'Commercial Path Evidence'!H7="CONTRADICTED",'Commercial Path Evidence'!H7="UNRESOLVED",'Commercial Path Evidence'!I6="MATERIAL_UNRESOLVED",'Commercial Path Evidence'!I7="MATERIAL_UNRESOLVED",COUNTIF('Commercial Path Evidence'!C6:G6,"UNRESOLVED")+COUNTIF('Commercial Path Evidence'!C6:G6,"CONTRADICTED")+COUNTIF('Commercial Path Evidence'!C7:G7,"UNRESOLVED")+COUNTIF('Commercial Path Evidence'!C7:G7,"CONTRADICTED")&gt;0),"YES","NO")</f>
        <v>NO</v>
      </c>
      <c r="D7" s="3" t="str">
        <f>IF(COUNTIF('Comparison Matrix'!G$5:G$12,"UNRESOLVED")&gt;0,"UNRESOLVED",IF(AND(COUNTIF('Comparison Matrix'!G$5:G$12,"C_STRONGER")=0,COUNTIF('Comparison Matrix'!G$5:G$12,"B_STRONGER")&gt;0),"B_DOMINATES_C",IF(AND(COUNTIF('Comparison Matrix'!G$5:G$12,"B_STRONGER")=0,COUNTIF('Comparison Matrix'!G$5:G$12,"C_STRONGER")&gt;0),"C_DOMINATES_B","TRADE_OFFS_REMAIN")))</f>
        <v>TRADE_OFFS_REMAIN</v>
      </c>
      <c r="E7" s="3" t="str">
        <f>IF(B7&lt;&gt;"COMPARABLE",B7,IF(C7="YES","UNRESOLVED",D7))</f>
        <v>TRADE_OFFS_REMAIN</v>
      </c>
      <c r="F7" s="3" t="str">
        <f>IF(E7="NOT_COMPARABLE","The live territory context is not comparable.",IF(E7="DUPLICATE","Semantic duplicate: do not count both independently.",IF(E7="DEPENDENT","Prerequisite/shared dependency prevents direct dominance.",IF(E7="OVERLAPPING","Overlap or cannibalization constrains additive interpretation.",IF(E7="UNRESOLVED","Material structural or evidence state remains unresolved.",IF(OR(E7="A_DOMINATES_B",E7="A_DOMINATES_C",E7="B_DOMINATES_A",E7="B_DOMINATES_C",E7="C_DOMINATES_A",E7="C_DOMINATES_B"),"One territory is no worse on every required comparable dimension and materially stronger on at least one.","Each territory retains at least one material advantage."))))))</f>
        <v>Each territory retains at least one material advantage.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5.5">
      <c r="A10" s="3"/>
      <c r="B10" s="3"/>
      <c r="C10" s="3"/>
      <c r="D10" s="3"/>
      <c r="E10" s="3"/>
      <c r="F10" s="3"/>
      <c r="G10" s="3" t="s">
        <v>58</v>
      </c>
      <c r="H10" s="3" t="str">
        <f>IF(OR(E5="DUPLICATE",E6="DUPLICATE",E5="OVERLAPPING",E6="OVERLAPPING",E5="UNRESOLVED",E6="UNRESOLVED"),"UNRESOLVED",IF(OR(E5="DEPENDENT",E6="DEPENDENT"),"DEPENDENCY_CONSTRAINED",IF(AND(OR(E5="A_DOMINATES_B",E5="TRADE_OFFS_REMAIN",E5="NOT_COMPARABLE"),OR(E6="A_DOMINATES_C",E6="TRADE_OFFS_REMAIN",E6="NOT_COMPARABLE"),OR(E5="A_DOMINATES_B",E6="A_DOMINATES_C")),"DOMINANT",IF(OR(E5="B_DOMINATES_A",E6="C_DOMINATES_A"),"DOMINATED",IF(AND(E5="NOT_COMPARABLE",E6="NOT_COMPARABLE"),"NOT_COMPARABLE","NON_DOMINATED")))))</f>
        <v>DEPENDENCY_CONSTRAINED</v>
      </c>
      <c r="I10" s="3" t="str">
        <f>IF(OR(H10="UNRESOLVED",H10="DEPENDENCY_CONSTRAINED",H10="NOT_COMPARABLE"),"STRUCTURALLY_UNRESOLVED",IF(OR(COUNTIF('Commercial Path Evidence'!$H$5:$H$7,"PARTIAL")&gt;0,COUNTIF('Commercial Path Evidence'!$M$5:$M$7,"INFERRED")&gt;0,COUNTIF('Commercial Path Evidence'!$M$5:$M$7,"PARTIALLY_MEASURED")&gt;0,COUNTIF('Commercial Path Evidence'!$C$5:$G$7,"INFERRED")&gt;0),"EVIDENCE_SENSITIVE","ROBUST"))</f>
        <v>STRUCTURALLY_UNRESOLVED</v>
      </c>
      <c r="J10" s="3" t="str">
        <f>IF(H10="DEPENDENCY_CONSTRAINED","Resolve T-A dependency/prerequisite evidence before direct comparison.",IF(H10="NOT_COMPARABLE","Align T-A market/geography/language/horizon/business-model context or keep a separate decision.",IF(H10="UNRESOLVED","Resolve duplicate/overlap/cannibalization or missing structural evidence affecting T-A.",IF(I10="EVIDENCE_SENSITIVE","Add the smallest independent commercial evidence that could change T-A frontier status.","No material decision-changing evidence identified from current record."))))</f>
        <v>Resolve T-A dependency/prerequisite evidence before direct comparison.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25.5">
      <c r="A11" s="3"/>
      <c r="B11" s="3"/>
      <c r="C11" s="3"/>
      <c r="D11" s="3"/>
      <c r="E11" s="3"/>
      <c r="F11" s="3"/>
      <c r="G11" s="3" t="s">
        <v>59</v>
      </c>
      <c r="H11" s="3" t="str">
        <f>IF(OR(E5="DUPLICATE",E7="DUPLICATE",E5="OVERLAPPING",E7="OVERLAPPING",E5="UNRESOLVED",E7="UNRESOLVED"),"UNRESOLVED",IF(OR(E5="DEPENDENT",E7="DEPENDENT"),"DEPENDENCY_CONSTRAINED",IF(AND(OR(E5="B_DOMINATES_A",E5="TRADE_OFFS_REMAIN",E5="NOT_COMPARABLE"),OR(E7="B_DOMINATES_C",E7="TRADE_OFFS_REMAIN",E7="NOT_COMPARABLE"),OR(E5="B_DOMINATES_A",E7="B_DOMINATES_C")),"DOMINANT",IF(OR(E5="A_DOMINATES_B",E7="C_DOMINATES_B"),"DOMINATED",IF(AND(E5="NOT_COMPARABLE",E7="NOT_COMPARABLE"),"NOT_COMPARABLE","NON_DOMINATED")))))</f>
        <v>NON_DOMINATED</v>
      </c>
      <c r="I11" s="3" t="str">
        <f>IF(OR(H11="UNRESOLVED",H11="DEPENDENCY_CONSTRAINED",H11="NOT_COMPARABLE"),"STRUCTURALLY_UNRESOLVED",IF(OR(COUNTIF('Commercial Path Evidence'!$H$5:$H$7,"PARTIAL")&gt;0,COUNTIF('Commercial Path Evidence'!$M$5:$M$7,"INFERRED")&gt;0,COUNTIF('Commercial Path Evidence'!$M$5:$M$7,"PARTIALLY_MEASURED")&gt;0,COUNTIF('Commercial Path Evidence'!$C$5:$G$7,"INFERRED")&gt;0),"EVIDENCE_SENSITIVE","ROBUST"))</f>
        <v>EVIDENCE_SENSITIVE</v>
      </c>
      <c r="J11" s="3" t="str">
        <f>IF(H11="DEPENDENCY_CONSTRAINED","Resolve T-B dependency/prerequisite evidence before direct comparison.",IF(H11="NOT_COMPARABLE","Align T-B market/geography/language/horizon/business-model context or keep a separate decision.",IF(H11="UNRESOLVED","Resolve duplicate/overlap/cannibalization or missing structural evidence affecting T-B.",IF(I11="EVIDENCE_SENSITIVE","Add first-party qualified-action/current-capture evidence that could change T-B frontier status.","No material decision-changing evidence identified from current record."))))</f>
        <v>Add first-party qualified-action/current-capture evidence that could change T-B frontier status.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25.5">
      <c r="A12" s="3"/>
      <c r="B12" s="3"/>
      <c r="C12" s="3"/>
      <c r="D12" s="3"/>
      <c r="E12" s="3"/>
      <c r="F12" s="3"/>
      <c r="G12" s="3" t="s">
        <v>60</v>
      </c>
      <c r="H12" s="3" t="str">
        <f>IF(OR(E6="DUPLICATE",E7="DUPLICATE",E6="OVERLAPPING",E7="OVERLAPPING",E6="UNRESOLVED",E7="UNRESOLVED"),"UNRESOLVED",IF(OR(E6="DEPENDENT",E7="DEPENDENT"),"DEPENDENCY_CONSTRAINED",IF(AND(OR(E6="C_DOMINATES_A",E6="TRADE_OFFS_REMAIN",E6="NOT_COMPARABLE"),OR(E7="C_DOMINATES_B",E7="TRADE_OFFS_REMAIN",E7="NOT_COMPARABLE"),OR(E6="C_DOMINATES_A",E7="C_DOMINATES_B")),"DOMINANT",IF(OR(E6="A_DOMINATES_C",E7="B_DOMINATES_C"),"DOMINATED",IF(AND(E6="NOT_COMPARABLE",E7="NOT_COMPARABLE"),"NOT_COMPARABLE","NON_DOMINATED")))))</f>
        <v>DEPENDENCY_CONSTRAINED</v>
      </c>
      <c r="I12" s="3" t="str">
        <f>IF(OR(H12="UNRESOLVED",H12="DEPENDENCY_CONSTRAINED",H12="NOT_COMPARABLE"),"STRUCTURALLY_UNRESOLVED",IF(OR(COUNTIF('Commercial Path Evidence'!$H$5:$H$7,"PARTIAL")&gt;0,COUNTIF('Commercial Path Evidence'!$M$5:$M$7,"INFERRED")&gt;0,COUNTIF('Commercial Path Evidence'!$M$5:$M$7,"PARTIALLY_MEASURED")&gt;0,COUNTIF('Commercial Path Evidence'!$C$5:$G$7,"INFERRED")&gt;0),"EVIDENCE_SENSITIVE","ROBUST"))</f>
        <v>STRUCTURALLY_UNRESOLVED</v>
      </c>
      <c r="J12" s="3" t="str">
        <f>IF(H12="DEPENDENCY_CONSTRAINED","Verify T-C prerequisite and recovered qualified reach before treating it as an independent alternative.",IF(H12="NOT_COMPARABLE","Align T-C market/geography/language/horizon/business-model context or keep a separate decision.",IF(H12="UNRESOLVED","Resolve duplicate/overlap/cannibalization or missing structural evidence affecting T-C.",IF(I12="EVIDENCE_SENSITIVE","Add technical recovery and downstream commercial evidence that could change T-C frontier status.","No material decision-changing evidence identified from current record."))))</f>
        <v>Verify T-C prerequisite and recovered qualified reach before treating it as an independent alternative.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4" customHeight="1">
      <c r="A14" s="4" t="s">
        <v>269</v>
      </c>
      <c r="B14" s="4"/>
      <c r="C14" s="4"/>
      <c r="D14" s="4"/>
      <c r="E14" s="4"/>
      <c r="F14" s="4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32.1" customHeight="1">
      <c r="A15" s="4" t="s">
        <v>270</v>
      </c>
      <c r="B15" s="18" t="str">
        <f>IF(COUNTIF('Boundary &amp; Scope'!P5:P7,"BLOCKED")&gt;0,"BOUNDARY_INVALID",IF(COUNTIF(B5:B7,"DUPLICATE")&gt;0,"DUPLICATE_TERRITORY",IF(COUNTIF(B5:B7,"UNRESOLVED")&gt;0,"EVIDENCE_INSUFFICIENT",IF(COUNTIF(H10:H12,"DOMINANT")&gt;0,"CLEAR_COMPARATIVE_ADVANTAGE",IF(COUNTIF(H10:H12,"NON_DOMINATED")&gt;0,"NON_DOMINATED_FRONTIER",IF(COUNTIF(B5:B7,"DEPENDENT")&gt;0,"DEPENDENCY_PREVENTS_DIRECT_COMPARISON",IF(COUNTIF(B5:B7,"OVERLAPPING")&gt;0,"OVERLAP_PREVENTS_ADDITIVE_INTERPRETATION",IF(COUNTIF(B5:B7,"NOT_COMPARABLE")&gt;0,"NOT_COMPARABLE","COMPARISON_UNRESOLVED"))))))))</f>
        <v>NON_DOMINATED_FRONTIER</v>
      </c>
      <c r="C15" s="4"/>
      <c r="D15" s="4"/>
      <c r="E15" s="4"/>
      <c r="F15" s="4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74.099999999999994" customHeight="1">
      <c r="A16" s="4" t="s">
        <v>61</v>
      </c>
      <c r="B16" s="4" t="str">
        <f>IF(B15="BOUNDARY_INVALID","At least one live territory boundary is not ready; comparison must stop.",IF(B15="DUPLICATE_TERRITORY","At least one pair is a live semantic duplicate; remove double counting before portfolio interpretation.",IF(B15="CLEAR_COMPARATIVE_ADVANTAGE","One territory has a defensible comparative advantage across the current valid comparable set.",IF(B15="NON_DOMINATED_FRONTIER","At least one territory remains non-dominated; trade-offs or structural constraints prevent a complete independent ordering.",IF(B15="DEPENDENCY_PREVENTS_DIRECT_COMPARISON","Dependencies prevent a direct independent portfolio ordering.",IF(B15="OVERLAP_PREVENTS_ADDITIVE_INTERPRETATION","Overlap, nesting or cannibalization prevents additive portfolio interpretation.",IF(B15="NOT_COMPARABLE","No defensible common comparison context exists across the current set.","The comparison cannot yet support a stable frontier.")))))))</f>
        <v>At least one territory remains non-dominated; trade-offs or structural constraints prevent a complete independent ordering.</v>
      </c>
      <c r="C16" s="4"/>
      <c r="D16" s="4"/>
      <c r="E16" s="4"/>
      <c r="F16" s="4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81.95" customHeight="1">
      <c r="A17" s="4" t="s">
        <v>86</v>
      </c>
      <c r="B17" s="4" t="str">
        <f>IF(B15="BOUNDARY_INVALID","Define/fix the territory boundary before A41.",IF(B15="DUPLICATE_TERRITORY","Deduplicate the portfolio before A41.",IF(B15="DEPENDENCY_PREVENTS_DIRECT_COMPARISON","Carry the dependency/prerequisite explicitly into A41.",IF(B15="OVERLAP_PREVENTS_ADDITIVE_INTERPRETATION","Carry the non-additive overlap/cannibalization constraint into A41.","Carry the live territory boundaries, pairwise relations, frontier state, stability and decision-changing evidence into Fund / Prepare / Defer / Ignore."))))</f>
        <v>Carry the live territory boundaries, pairwise relations, frontier state, stability and decision-changing evidence into Fund / Prepare / Defer / Ignore.</v>
      </c>
      <c r="C17" s="4"/>
      <c r="D17" s="4"/>
      <c r="E17" s="4"/>
      <c r="F17" s="4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80"/>
  <sheetViews>
    <sheetView workbookViewId="0"/>
  </sheetViews>
  <sheetFormatPr defaultRowHeight="14.25"/>
  <cols>
    <col min="1" max="2" width="28" customWidth="1"/>
    <col min="3" max="3" width="24" customWidth="1"/>
    <col min="4" max="4" width="26" customWidth="1"/>
    <col min="5" max="5" width="20" customWidth="1"/>
    <col min="6" max="6" width="24" customWidth="1"/>
    <col min="7" max="7" width="30" customWidth="1"/>
    <col min="8" max="8" width="52" customWidth="1"/>
  </cols>
  <sheetData>
    <row r="1" spans="1:21" ht="33.950000000000003" customHeight="1">
      <c r="A1" s="5" t="s">
        <v>38</v>
      </c>
      <c r="B1" s="5"/>
      <c r="C1" s="5"/>
      <c r="D1" s="5"/>
      <c r="E1" s="5"/>
      <c r="F1" s="5"/>
      <c r="G1" s="5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0" customHeight="1">
      <c r="A2" s="6" t="s">
        <v>271</v>
      </c>
      <c r="B2" s="6"/>
      <c r="C2" s="6"/>
      <c r="D2" s="6"/>
      <c r="E2" s="6"/>
      <c r="F2" s="6"/>
      <c r="G2" s="6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8" t="s">
        <v>272</v>
      </c>
      <c r="B4" s="8" t="s">
        <v>273</v>
      </c>
      <c r="C4" s="8" t="s">
        <v>274</v>
      </c>
      <c r="D4" s="8" t="s">
        <v>275</v>
      </c>
      <c r="E4" s="8" t="s">
        <v>276</v>
      </c>
      <c r="F4" s="8" t="s">
        <v>277</v>
      </c>
      <c r="G4" s="8" t="s">
        <v>278</v>
      </c>
      <c r="H4" s="8" t="s">
        <v>61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3" t="s">
        <v>274</v>
      </c>
      <c r="B5" s="3" t="s">
        <v>279</v>
      </c>
      <c r="C5" s="3" t="s">
        <v>280</v>
      </c>
      <c r="D5" s="3" t="s">
        <v>281</v>
      </c>
      <c r="E5" s="3" t="s">
        <v>282</v>
      </c>
      <c r="F5" s="3" t="s">
        <v>283</v>
      </c>
      <c r="G5" s="3" t="s">
        <v>283</v>
      </c>
      <c r="H5" s="3" t="s">
        <v>284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5.5">
      <c r="A6" s="3" t="s">
        <v>285</v>
      </c>
      <c r="B6" s="3" t="s">
        <v>286</v>
      </c>
      <c r="C6" s="3" t="s">
        <v>173</v>
      </c>
      <c r="D6" s="3" t="s">
        <v>169</v>
      </c>
      <c r="E6" s="3" t="s">
        <v>59</v>
      </c>
      <c r="F6" s="3" t="s">
        <v>283</v>
      </c>
      <c r="G6" s="3" t="s">
        <v>287</v>
      </c>
      <c r="H6" s="3" t="s">
        <v>288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3" t="s">
        <v>289</v>
      </c>
      <c r="B7" s="3" t="s">
        <v>290</v>
      </c>
      <c r="C7" s="3" t="s">
        <v>238</v>
      </c>
      <c r="D7" s="3" t="s">
        <v>242</v>
      </c>
      <c r="E7" s="3" t="s">
        <v>58</v>
      </c>
      <c r="F7" s="3" t="s">
        <v>283</v>
      </c>
      <c r="G7" s="3" t="s">
        <v>291</v>
      </c>
      <c r="H7" s="3" t="s">
        <v>292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5.5">
      <c r="A8" s="3" t="s">
        <v>293</v>
      </c>
      <c r="B8" s="3" t="s">
        <v>294</v>
      </c>
      <c r="C8" s="3" t="s">
        <v>210</v>
      </c>
      <c r="D8" s="3" t="s">
        <v>170</v>
      </c>
      <c r="E8" s="3" t="s">
        <v>208</v>
      </c>
      <c r="F8" s="3" t="s">
        <v>295</v>
      </c>
      <c r="G8" s="3" t="s">
        <v>296</v>
      </c>
      <c r="H8" s="3" t="s">
        <v>297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 t="s">
        <v>298</v>
      </c>
      <c r="B9" s="3" t="s">
        <v>299</v>
      </c>
      <c r="C9" s="3" t="s">
        <v>300</v>
      </c>
      <c r="D9" s="3" t="s">
        <v>301</v>
      </c>
      <c r="E9" s="3" t="s">
        <v>59</v>
      </c>
      <c r="F9" s="3" t="s">
        <v>283</v>
      </c>
      <c r="G9" s="3" t="s">
        <v>302</v>
      </c>
      <c r="H9" s="3" t="s">
        <v>303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304</v>
      </c>
      <c r="B10" s="3" t="s">
        <v>305</v>
      </c>
      <c r="C10" s="3" t="s">
        <v>168</v>
      </c>
      <c r="D10" s="3" t="s">
        <v>306</v>
      </c>
      <c r="E10" s="3" t="s">
        <v>59</v>
      </c>
      <c r="F10" s="3" t="s">
        <v>283</v>
      </c>
      <c r="G10" s="3" t="s">
        <v>307</v>
      </c>
      <c r="H10" s="3" t="s">
        <v>308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80"/>
  <sheetViews>
    <sheetView workbookViewId="0"/>
  </sheetViews>
  <sheetFormatPr defaultRowHeight="14.25"/>
  <cols>
    <col min="1" max="1" width="18" customWidth="1"/>
    <col min="2" max="2" width="20" customWidth="1"/>
    <col min="3" max="3" width="30" customWidth="1"/>
    <col min="4" max="4" width="38" customWidth="1"/>
    <col min="5" max="5" width="34" customWidth="1"/>
    <col min="6" max="6" width="20" customWidth="1"/>
    <col min="7" max="7" width="22" customWidth="1"/>
    <col min="8" max="8" width="26" customWidth="1"/>
    <col min="9" max="9" width="30" customWidth="1"/>
    <col min="10" max="10" width="36" customWidth="1"/>
    <col min="11" max="11" width="26" customWidth="1"/>
    <col min="12" max="12" width="52" customWidth="1"/>
  </cols>
  <sheetData>
    <row r="1" spans="1:21" ht="33.950000000000003" customHeight="1">
      <c r="A1" s="5" t="s">
        <v>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3"/>
      <c r="N1" s="3"/>
      <c r="O1" s="3"/>
      <c r="P1" s="3"/>
      <c r="Q1" s="3"/>
      <c r="R1" s="3"/>
      <c r="S1" s="3"/>
      <c r="T1" s="3"/>
      <c r="U1" s="3"/>
    </row>
    <row r="2" spans="1:21" ht="30" customHeight="1">
      <c r="A2" s="6" t="s">
        <v>309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8" t="s">
        <v>310</v>
      </c>
      <c r="B4" s="8" t="s">
        <v>311</v>
      </c>
      <c r="C4" s="8" t="s">
        <v>312</v>
      </c>
      <c r="D4" s="8" t="s">
        <v>313</v>
      </c>
      <c r="E4" s="8" t="s">
        <v>314</v>
      </c>
      <c r="F4" s="8" t="s">
        <v>7</v>
      </c>
      <c r="G4" s="8" t="s">
        <v>315</v>
      </c>
      <c r="H4" s="8" t="s">
        <v>316</v>
      </c>
      <c r="I4" s="8" t="s">
        <v>71</v>
      </c>
      <c r="J4" s="8" t="s">
        <v>317</v>
      </c>
      <c r="K4" s="8" t="s">
        <v>82</v>
      </c>
      <c r="L4" s="8" t="s">
        <v>318</v>
      </c>
      <c r="M4" s="3"/>
      <c r="N4" s="3"/>
      <c r="O4" s="3"/>
      <c r="P4" s="3"/>
      <c r="Q4" s="3"/>
      <c r="R4" s="3"/>
      <c r="S4" s="3"/>
      <c r="T4" s="3"/>
      <c r="U4" s="3"/>
    </row>
    <row r="5" spans="1:21" ht="25.5">
      <c r="A5" s="3" t="s">
        <v>319</v>
      </c>
      <c r="B5" s="3" t="s">
        <v>320</v>
      </c>
      <c r="C5" s="3" t="s">
        <v>321</v>
      </c>
      <c r="D5" s="3" t="s">
        <v>322</v>
      </c>
      <c r="E5" s="3" t="s">
        <v>323</v>
      </c>
      <c r="F5" s="3" t="s">
        <v>324</v>
      </c>
      <c r="G5" s="3" t="s">
        <v>153</v>
      </c>
      <c r="H5" s="3" t="s">
        <v>153</v>
      </c>
      <c r="I5" s="3" t="s">
        <v>325</v>
      </c>
      <c r="J5" s="3" t="s">
        <v>326</v>
      </c>
      <c r="K5" s="3" t="s">
        <v>327</v>
      </c>
      <c r="L5" s="3" t="s">
        <v>328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80"/>
  <sheetViews>
    <sheetView workbookViewId="0"/>
  </sheetViews>
  <sheetFormatPr defaultRowHeight="14.25"/>
  <cols>
    <col min="1" max="1" width="20" customWidth="1"/>
    <col min="2" max="4" width="28" customWidth="1"/>
    <col min="5" max="5" width="34" customWidth="1"/>
    <col min="6" max="6" width="40" customWidth="1"/>
    <col min="7" max="7" width="38" customWidth="1"/>
    <col min="8" max="8" width="34" customWidth="1"/>
  </cols>
  <sheetData>
    <row r="1" spans="1:21" ht="33.950000000000003" customHeight="1">
      <c r="A1" s="5" t="s">
        <v>329</v>
      </c>
      <c r="B1" s="5"/>
      <c r="C1" s="5"/>
      <c r="D1" s="5"/>
      <c r="E1" s="5"/>
      <c r="F1" s="5"/>
      <c r="G1" s="5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0" customHeight="1">
      <c r="A2" s="6" t="s">
        <v>330</v>
      </c>
      <c r="B2" s="6"/>
      <c r="C2" s="6"/>
      <c r="D2" s="6"/>
      <c r="E2" s="6"/>
      <c r="F2" s="6"/>
      <c r="G2" s="6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8" t="s">
        <v>90</v>
      </c>
      <c r="B4" s="8" t="s">
        <v>178</v>
      </c>
      <c r="C4" s="8" t="s">
        <v>179</v>
      </c>
      <c r="D4" s="8" t="s">
        <v>229</v>
      </c>
      <c r="E4" s="8" t="s">
        <v>331</v>
      </c>
      <c r="F4" s="8" t="s">
        <v>332</v>
      </c>
      <c r="G4" s="8" t="s">
        <v>333</v>
      </c>
      <c r="H4" s="8" t="s">
        <v>334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25.5">
      <c r="A5" s="3" t="s">
        <v>335</v>
      </c>
      <c r="B5" s="3" t="s">
        <v>336</v>
      </c>
      <c r="C5" s="3" t="s">
        <v>337</v>
      </c>
      <c r="D5" s="3" t="s">
        <v>338</v>
      </c>
      <c r="E5" s="3" t="s">
        <v>339</v>
      </c>
      <c r="F5" s="3" t="s">
        <v>340</v>
      </c>
      <c r="G5" s="3" t="s">
        <v>341</v>
      </c>
      <c r="H5" s="3" t="s">
        <v>342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25.5">
      <c r="A6" s="3" t="s">
        <v>343</v>
      </c>
      <c r="B6" s="3" t="s">
        <v>344</v>
      </c>
      <c r="C6" s="3" t="s">
        <v>345</v>
      </c>
      <c r="D6" s="3" t="s">
        <v>346</v>
      </c>
      <c r="E6" s="3" t="s">
        <v>347</v>
      </c>
      <c r="F6" s="3" t="s">
        <v>348</v>
      </c>
      <c r="G6" s="3" t="s">
        <v>349</v>
      </c>
      <c r="H6" s="3" t="s">
        <v>350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5.5">
      <c r="A7" s="3" t="s">
        <v>351</v>
      </c>
      <c r="B7" s="3" t="s">
        <v>352</v>
      </c>
      <c r="C7" s="3" t="s">
        <v>353</v>
      </c>
      <c r="D7" s="3"/>
      <c r="E7" s="3" t="s">
        <v>354</v>
      </c>
      <c r="F7" s="3" t="s">
        <v>355</v>
      </c>
      <c r="G7" s="3" t="s">
        <v>356</v>
      </c>
      <c r="H7" s="3" t="s">
        <v>357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5.5">
      <c r="A8" s="3" t="s">
        <v>358</v>
      </c>
      <c r="B8" s="3" t="s">
        <v>359</v>
      </c>
      <c r="C8" s="3" t="s">
        <v>360</v>
      </c>
      <c r="D8" s="3"/>
      <c r="E8" s="3" t="s">
        <v>361</v>
      </c>
      <c r="F8" s="3" t="s">
        <v>362</v>
      </c>
      <c r="G8" s="3" t="s">
        <v>363</v>
      </c>
      <c r="H8" s="3" t="s">
        <v>364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5.5">
      <c r="A9" s="3" t="s">
        <v>365</v>
      </c>
      <c r="B9" s="3" t="s">
        <v>366</v>
      </c>
      <c r="C9" s="3" t="s">
        <v>367</v>
      </c>
      <c r="D9" s="3"/>
      <c r="E9" s="3" t="s">
        <v>368</v>
      </c>
      <c r="F9" s="3" t="s">
        <v>369</v>
      </c>
      <c r="G9" s="3" t="s">
        <v>370</v>
      </c>
      <c r="H9" s="3" t="s">
        <v>371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80"/>
  <sheetViews>
    <sheetView workbookViewId="0"/>
  </sheetViews>
  <sheetFormatPr defaultRowHeight="14.25"/>
  <cols>
    <col min="1" max="14" width="24" customWidth="1"/>
  </cols>
  <sheetData>
    <row r="1" spans="1:21" ht="33.950000000000003" customHeight="1">
      <c r="A1" s="5" t="s">
        <v>372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3"/>
      <c r="P1" s="3"/>
      <c r="Q1" s="3"/>
      <c r="R1" s="3"/>
      <c r="S1" s="3"/>
      <c r="T1" s="3"/>
      <c r="U1" s="3"/>
    </row>
    <row r="2" spans="1:21" ht="30" customHeight="1">
      <c r="A2" s="6" t="s">
        <v>373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8" t="s">
        <v>374</v>
      </c>
      <c r="B4" s="8" t="s">
        <v>375</v>
      </c>
      <c r="C4" s="8" t="s">
        <v>376</v>
      </c>
      <c r="D4" s="8" t="s">
        <v>377</v>
      </c>
      <c r="E4" s="8" t="s">
        <v>29</v>
      </c>
      <c r="F4" s="8" t="s">
        <v>378</v>
      </c>
      <c r="G4" s="8" t="s">
        <v>379</v>
      </c>
      <c r="H4" s="8" t="s">
        <v>380</v>
      </c>
      <c r="I4" s="8" t="s">
        <v>381</v>
      </c>
      <c r="J4" s="8" t="s">
        <v>382</v>
      </c>
      <c r="K4" s="8" t="s">
        <v>383</v>
      </c>
      <c r="L4" s="8" t="s">
        <v>384</v>
      </c>
      <c r="M4" s="8" t="s">
        <v>385</v>
      </c>
      <c r="N4" s="3"/>
      <c r="O4" s="3"/>
      <c r="P4" s="3"/>
      <c r="Q4" s="3"/>
      <c r="R4" s="3"/>
      <c r="S4" s="3"/>
      <c r="T4" s="3"/>
      <c r="U4" s="3"/>
    </row>
    <row r="5" spans="1:21" ht="25.5">
      <c r="A5" s="3" t="s">
        <v>386</v>
      </c>
      <c r="B5" s="3" t="s">
        <v>107</v>
      </c>
      <c r="C5" s="3" t="s">
        <v>154</v>
      </c>
      <c r="D5" s="3" t="s">
        <v>204</v>
      </c>
      <c r="E5" s="3" t="s">
        <v>205</v>
      </c>
      <c r="F5" s="3" t="s">
        <v>170</v>
      </c>
      <c r="G5" s="3" t="s">
        <v>387</v>
      </c>
      <c r="H5" s="3" t="s">
        <v>167</v>
      </c>
      <c r="I5" s="3" t="s">
        <v>169</v>
      </c>
      <c r="J5" s="3" t="s">
        <v>170</v>
      </c>
      <c r="K5" s="3" t="s">
        <v>388</v>
      </c>
      <c r="L5" s="3" t="s">
        <v>242</v>
      </c>
      <c r="M5" s="3">
        <v>1</v>
      </c>
      <c r="N5" s="3"/>
      <c r="O5" s="3"/>
      <c r="P5" s="3"/>
      <c r="Q5" s="3"/>
      <c r="R5" s="3"/>
      <c r="S5" s="3"/>
      <c r="T5" s="3"/>
      <c r="U5" s="3"/>
    </row>
    <row r="6" spans="1:21" ht="25.5">
      <c r="A6" s="3" t="s">
        <v>389</v>
      </c>
      <c r="B6" s="3" t="s">
        <v>390</v>
      </c>
      <c r="C6" s="3" t="s">
        <v>391</v>
      </c>
      <c r="D6" s="3" t="s">
        <v>209</v>
      </c>
      <c r="E6" s="3" t="s">
        <v>209</v>
      </c>
      <c r="F6" s="3" t="s">
        <v>210</v>
      </c>
      <c r="G6" s="3" t="s">
        <v>392</v>
      </c>
      <c r="H6" s="3" t="s">
        <v>168</v>
      </c>
      <c r="I6" s="3" t="s">
        <v>173</v>
      </c>
      <c r="J6" s="3" t="s">
        <v>393</v>
      </c>
      <c r="K6" s="3" t="s">
        <v>171</v>
      </c>
      <c r="L6" s="3" t="s">
        <v>238</v>
      </c>
      <c r="M6" s="3">
        <v>2</v>
      </c>
      <c r="N6" s="3"/>
      <c r="O6" s="3"/>
      <c r="P6" s="3"/>
      <c r="Q6" s="3"/>
      <c r="R6" s="3"/>
      <c r="S6" s="3"/>
      <c r="T6" s="3"/>
      <c r="U6" s="3"/>
    </row>
    <row r="7" spans="1:21" ht="25.5">
      <c r="A7" s="3" t="s">
        <v>394</v>
      </c>
      <c r="B7" s="3" t="s">
        <v>395</v>
      </c>
      <c r="C7" s="3" t="s">
        <v>396</v>
      </c>
      <c r="D7" s="3" t="s">
        <v>397</v>
      </c>
      <c r="E7" s="3" t="s">
        <v>398</v>
      </c>
      <c r="F7" s="3" t="s">
        <v>399</v>
      </c>
      <c r="G7" s="3" t="s">
        <v>211</v>
      </c>
      <c r="H7" s="3" t="s">
        <v>307</v>
      </c>
      <c r="I7" s="3" t="s">
        <v>400</v>
      </c>
      <c r="J7" s="3" t="s">
        <v>401</v>
      </c>
      <c r="K7" s="3" t="s">
        <v>168</v>
      </c>
      <c r="L7" s="3" t="s">
        <v>237</v>
      </c>
      <c r="M7" s="3">
        <v>3</v>
      </c>
      <c r="N7" s="3"/>
      <c r="O7" s="3"/>
      <c r="P7" s="3"/>
      <c r="Q7" s="3"/>
      <c r="R7" s="3"/>
      <c r="S7" s="3"/>
      <c r="T7" s="3"/>
      <c r="U7" s="3"/>
    </row>
    <row r="8" spans="1:21" ht="25.5">
      <c r="A8" s="3" t="s">
        <v>106</v>
      </c>
      <c r="B8" s="3" t="s">
        <v>402</v>
      </c>
      <c r="C8" s="3" t="s">
        <v>403</v>
      </c>
      <c r="D8" s="3" t="s">
        <v>404</v>
      </c>
      <c r="E8" s="3" t="s">
        <v>405</v>
      </c>
      <c r="F8" s="3" t="s">
        <v>406</v>
      </c>
      <c r="G8" s="3" t="s">
        <v>206</v>
      </c>
      <c r="H8" s="3" t="s">
        <v>306</v>
      </c>
      <c r="I8" s="3" t="s">
        <v>306</v>
      </c>
      <c r="J8" s="3" t="s">
        <v>407</v>
      </c>
      <c r="K8" s="3" t="s">
        <v>307</v>
      </c>
      <c r="L8" s="3" t="s">
        <v>307</v>
      </c>
      <c r="M8" s="3"/>
      <c r="N8" s="3"/>
      <c r="O8" s="3"/>
      <c r="P8" s="3"/>
      <c r="Q8" s="3"/>
      <c r="R8" s="3"/>
      <c r="S8" s="3"/>
      <c r="T8" s="3"/>
      <c r="U8" s="3"/>
    </row>
    <row r="9" spans="1:21" ht="25.5">
      <c r="A9" s="3" t="s">
        <v>131</v>
      </c>
      <c r="B9" s="3" t="s">
        <v>408</v>
      </c>
      <c r="C9" s="3"/>
      <c r="D9" s="3" t="s">
        <v>409</v>
      </c>
      <c r="E9" s="3" t="s">
        <v>410</v>
      </c>
      <c r="F9" s="3" t="s">
        <v>411</v>
      </c>
      <c r="G9" s="3" t="s">
        <v>307</v>
      </c>
      <c r="H9" s="3"/>
      <c r="I9" s="3" t="s">
        <v>307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5.5">
      <c r="A10" s="3" t="s">
        <v>412</v>
      </c>
      <c r="B10" s="3" t="s">
        <v>413</v>
      </c>
      <c r="C10" s="3"/>
      <c r="D10" s="3" t="s">
        <v>414</v>
      </c>
      <c r="E10" s="3" t="s">
        <v>415</v>
      </c>
      <c r="F10" s="3" t="s">
        <v>416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3" t="s">
        <v>417</v>
      </c>
      <c r="B11" s="3"/>
      <c r="C11" s="3"/>
      <c r="D11" s="3" t="s">
        <v>307</v>
      </c>
      <c r="E11" s="3" t="s">
        <v>307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25.5">
      <c r="A12" s="3" t="s">
        <v>123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5.5">
      <c r="A13" s="3" t="s">
        <v>418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25.5">
      <c r="A14" s="3" t="s">
        <v>419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s="3" t="s">
        <v>420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25.5">
      <c r="A16" s="3" t="s">
        <v>421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80"/>
  <sheetViews>
    <sheetView workbookViewId="0"/>
  </sheetViews>
  <sheetFormatPr defaultRowHeight="14.25"/>
  <cols>
    <col min="1" max="1" width="12" customWidth="1"/>
    <col min="2" max="2" width="42" customWidth="1"/>
    <col min="3" max="15" width="18" customWidth="1"/>
    <col min="16" max="21" width="24" customWidth="1"/>
    <col min="22" max="31" width="16" customWidth="1"/>
    <col min="32" max="34" width="20" customWidth="1"/>
  </cols>
  <sheetData>
    <row r="1" spans="1:34" ht="33.950000000000003" customHeight="1">
      <c r="A1" s="5" t="s">
        <v>422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34" ht="30" customHeight="1">
      <c r="A2" s="6" t="s">
        <v>423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3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34" ht="30">
      <c r="A4" s="8" t="s">
        <v>424</v>
      </c>
      <c r="B4" s="8" t="s">
        <v>425</v>
      </c>
      <c r="C4" s="8" t="s">
        <v>426</v>
      </c>
      <c r="D4" s="8" t="s">
        <v>427</v>
      </c>
      <c r="E4" s="8" t="s">
        <v>428</v>
      </c>
      <c r="F4" s="8" t="s">
        <v>429</v>
      </c>
      <c r="G4" s="8" t="s">
        <v>377</v>
      </c>
      <c r="H4" s="8" t="s">
        <v>29</v>
      </c>
      <c r="I4" s="8" t="s">
        <v>378</v>
      </c>
      <c r="J4" s="8" t="s">
        <v>199</v>
      </c>
      <c r="K4" s="8" t="s">
        <v>266</v>
      </c>
      <c r="L4" s="8" t="s">
        <v>430</v>
      </c>
      <c r="M4" s="8" t="s">
        <v>431</v>
      </c>
      <c r="N4" s="8" t="s">
        <v>432</v>
      </c>
      <c r="O4" s="8" t="s">
        <v>433</v>
      </c>
      <c r="P4" s="8" t="s">
        <v>434</v>
      </c>
      <c r="Q4" s="8" t="s">
        <v>435</v>
      </c>
      <c r="R4" s="8" t="s">
        <v>436</v>
      </c>
      <c r="S4" s="8" t="s">
        <v>437</v>
      </c>
      <c r="T4" s="8" t="s">
        <v>438</v>
      </c>
      <c r="U4" s="8" t="s">
        <v>439</v>
      </c>
      <c r="V4" s="1" t="s">
        <v>440</v>
      </c>
      <c r="W4" s="1" t="s">
        <v>441</v>
      </c>
      <c r="X4" s="1" t="s">
        <v>442</v>
      </c>
      <c r="Y4" s="1" t="s">
        <v>443</v>
      </c>
      <c r="Z4" s="1" t="s">
        <v>444</v>
      </c>
      <c r="AA4" s="1" t="s">
        <v>445</v>
      </c>
      <c r="AB4" s="1" t="s">
        <v>446</v>
      </c>
      <c r="AC4" s="1" t="s">
        <v>447</v>
      </c>
      <c r="AD4" s="1" t="s">
        <v>448</v>
      </c>
      <c r="AE4" s="1" t="s">
        <v>449</v>
      </c>
      <c r="AF4" s="13" t="s">
        <v>379</v>
      </c>
      <c r="AG4" s="13" t="s">
        <v>450</v>
      </c>
      <c r="AH4" s="13" t="s">
        <v>451</v>
      </c>
    </row>
    <row r="5" spans="1:34">
      <c r="A5" s="3" t="s">
        <v>452</v>
      </c>
      <c r="B5" s="3" t="s">
        <v>453</v>
      </c>
      <c r="C5" s="3" t="s">
        <v>153</v>
      </c>
      <c r="D5" s="3" t="s">
        <v>154</v>
      </c>
      <c r="E5" s="3" t="s">
        <v>154</v>
      </c>
      <c r="F5" s="3" t="s">
        <v>454</v>
      </c>
      <c r="G5" s="3" t="s">
        <v>204</v>
      </c>
      <c r="H5" s="3" t="s">
        <v>205</v>
      </c>
      <c r="I5" s="3" t="s">
        <v>170</v>
      </c>
      <c r="J5" s="3" t="s">
        <v>153</v>
      </c>
      <c r="K5" s="3" t="s">
        <v>454</v>
      </c>
      <c r="L5" s="3" t="s">
        <v>153</v>
      </c>
      <c r="M5" s="3" t="s">
        <v>153</v>
      </c>
      <c r="N5" s="3" t="s">
        <v>454</v>
      </c>
      <c r="O5" s="3" t="s">
        <v>454</v>
      </c>
      <c r="P5" s="3" t="s">
        <v>455</v>
      </c>
      <c r="Q5" s="3" t="str">
        <f t="shared" ref="Q5:Q45" si="0">IF(OR(NOT(V5),NOT(W5)),"NOT_COMPARABLE",IF(X5,"DUPLICATE",IF(Y5,"DUPLICATE",IF(Z5,"OVERLAPPING",IF(AA5,"DEPENDENT",IF(AG5,"UNRESOLVED",IF(NOT(AB5),"NOT_COMPARABLE",IF(AC5,"UNRESOLVED",IF(AD5,"A_DOMINATES_B",IF(AE5,"B_DOMINATES_A","TRADE_OFFS_REMAIN"))))))))))</f>
        <v>A_DOMINATES_B</v>
      </c>
      <c r="R5" s="3" t="str">
        <f t="shared" ref="R5:R50" si="1">IF(P5=Q5,"PASS","FAIL")</f>
        <v>PASS</v>
      </c>
      <c r="S5" s="3" t="s">
        <v>456</v>
      </c>
      <c r="T5" s="3" t="str">
        <f t="shared" ref="T5:T45" si="2">IF(OR(NOT(V5),NOT(W5)),"INVALID_BOUNDARY",IF(X5,"DUPLICATE_SIGNATURE",IF(Y5,"DUPLICATE_RELATION",IF(Z5,"OVERLAP_NESTING",IF(AA5,"DEPENDENCY",IF(AG5,"CANNIBALIZATION_UNRESOLVED",IF(NOT(AB5),"INCOMPATIBLE_CONTEXT",IF(AC5,"EVIDENCE_BLOCK",IF(AD5,"A_DOMINANCE",IF(AE5,"B_DOMINANCE","TRADE_OFFS"))))))))))</f>
        <v>A_DOMINANCE</v>
      </c>
      <c r="U5" s="3" t="str">
        <f t="shared" ref="U5:U50" si="3">IF(S5=T5,"PASS","FAIL")</f>
        <v>PASS</v>
      </c>
      <c r="V5" s="2" t="b">
        <f t="shared" ref="V5:V47" si="4">IFERROR(AND(LEN(TRIM(SUBSTITUTE(D5,CHAR(160)," ")))=LEN("DEFINED"),FIND("DEFINED",TRIM(SUBSTITUTE(D5,CHAR(160)," ")))=1),FALSE)</f>
        <v>1</v>
      </c>
      <c r="W5" s="2" t="b">
        <f t="shared" ref="W5:W47" si="5">IFERROR(AND(LEN(TRIM(SUBSTITUTE(E5,CHAR(160)," ")))=LEN("DEFINED"),FIND("DEFINED",TRIM(SUBSTITUTE(E5,CHAR(160)," ")))=1),FALSE)</f>
        <v>1</v>
      </c>
      <c r="X5" s="2" t="b">
        <f t="shared" ref="X5:X47" si="6">IFERROR(AND(LEN(TRIM(SUBSTITUTE(F5,CHAR(160)," ")))=LEN("YES"),FIND("YES",TRIM(SUBSTITUTE(F5,CHAR(160)," ")))=1),FALSE)</f>
        <v>0</v>
      </c>
      <c r="Y5" s="2" t="b">
        <f t="shared" ref="Y5:Y47" si="7">OR(IFERROR(AND(LEN(TRIM(SUBSTITUTE(G5,CHAR(160)," ")))=LEN("FUNCTIONAL_DUPLICATE"),FIND("FUNCTIONAL_DUPLICATE",TRIM(SUBSTITUTE(G5,CHAR(160)," ")))=1),FALSE),IFERROR(AND(LEN(TRIM(SUBSTITUTE(H5,CHAR(160)," ")))=LEN("DUPLICATE"),FIND("DUPLICATE",TRIM(SUBSTITUTE(H5,CHAR(160)," ")))=1),FALSE))</f>
        <v>0</v>
      </c>
      <c r="Z5" s="2" t="b">
        <f t="shared" ref="Z5:Z47" si="8">OR(IFERROR(AND(LEN(TRIM(SUBSTITUTE(G5,CHAR(160)," ")))=LEN("NESTED_CHILD"),FIND("NESTED_CHILD",TRIM(SUBSTITUTE(G5,CHAR(160)," ")))=1),FALSE),IFERROR(AND(LEN(TRIM(SUBSTITUTE(G5,CHAR(160)," ")))=LEN("NESTED_PARENT"),FIND("NESTED_PARENT",TRIM(SUBSTITUTE(G5,CHAR(160)," ")))=1),FALSE),IFERROR(AND(LEN(TRIM(SUBSTITUTE(G5,CHAR(160)," ")))=LEN("PARTIAL_DUPLICATE"),FIND("PARTIAL_DUPLICATE",TRIM(SUBSTITUTE(G5,CHAR(160)," ")))=1),FALSE),IFERROR(AND(LEN(TRIM(SUBSTITUTE(H5,CHAR(160)," ")))=LEN("NESTED"),FIND("NESTED",TRIM(SUBSTITUTE(H5,CHAR(160)," ")))=1),FALSE),IFERROR(AND(LEN(TRIM(SUBSTITUTE(H5,CHAR(160)," ")))=LEN("HEAVY_OVERLAP"),FIND("HEAVY_OVERLAP",TRIM(SUBSTITUTE(H5,CHAR(160)," ")))=1),FALSE),IFERROR(AND(LEN(TRIM(SUBSTITUTE(H5,CHAR(160)," ")))=LEN("PARTIAL_OVERLAP"),FIND("PARTIAL_OVERLAP",TRIM(SUBSTITUTE(H5,CHAR(160)," ")))=1),FALSE))</f>
        <v>0</v>
      </c>
      <c r="AA5" s="2" t="b">
        <f t="shared" ref="AA5:AA47" si="9">NOT(IFERROR(AND(LEN(TRIM(SUBSTITUTE(I5,CHAR(160)," ")))=LEN("NONE"),FIND("NONE",TRIM(SUBSTITUTE(I5,CHAR(160)," ")))=1),FALSE))</f>
        <v>0</v>
      </c>
      <c r="AB5" s="2" t="b">
        <f t="shared" ref="AB5:AB47" si="10">IFERROR(AND(LEN(TRIM(SUBSTITUTE(J5,CHAR(160)," ")))=LEN("YES"),FIND("YES",TRIM(SUBSTITUTE(J5,CHAR(160)," ")))=1),FALSE)</f>
        <v>1</v>
      </c>
      <c r="AC5" s="2" t="b">
        <f t="shared" ref="AC5:AC47" si="11">IFERROR(AND(LEN(TRIM(SUBSTITUTE(K5,CHAR(160)," ")))=LEN("YES"),FIND("YES",TRIM(SUBSTITUTE(K5,CHAR(160)," ")))=1),FALSE)</f>
        <v>0</v>
      </c>
      <c r="AD5" s="2" t="b">
        <f t="shared" ref="AD5:AD47" si="12">AND(IFERROR(AND(LEN(TRIM(SUBSTITUTE(L5,CHAR(160)," ")))=LEN("YES"),FIND("YES",TRIM(SUBSTITUTE(L5,CHAR(160)," ")))=1),FALSE),IFERROR(AND(LEN(TRIM(SUBSTITUTE(M5,CHAR(160)," ")))=LEN("YES"),FIND("YES",TRIM(SUBSTITUTE(M5,CHAR(160)," ")))=1),FALSE),IFERROR(AND(LEN(TRIM(SUBSTITUTE(N5,CHAR(160)," ")))=LEN("NO"),FIND("NO",TRIM(SUBSTITUTE(N5,CHAR(160)," ")))=1),FALSE))</f>
        <v>1</v>
      </c>
      <c r="AE5" s="2" t="b">
        <f t="shared" ref="AE5:AE47" si="13">AND(IFERROR(AND(LEN(TRIM(SUBSTITUTE(N5,CHAR(160)," ")))=LEN("YES"),FIND("YES",TRIM(SUBSTITUTE(N5,CHAR(160)," ")))=1),FALSE),IFERROR(AND(LEN(TRIM(SUBSTITUTE(O5,CHAR(160)," ")))=LEN("YES"),FIND("YES",TRIM(SUBSTITUTE(O5,CHAR(160)," ")))=1),FALSE),IFERROR(AND(LEN(TRIM(SUBSTITUTE(L5,CHAR(160)," ")))=LEN("NO"),FIND("NO",TRIM(SUBSTITUTE(L5,CHAR(160)," ")))=1),FALSE))</f>
        <v>0</v>
      </c>
      <c r="AF5" t="s">
        <v>206</v>
      </c>
      <c r="AG5" t="b">
        <f t="shared" ref="AG5:AG46" si="14">AF5="UNRESOLVED"</f>
        <v>0</v>
      </c>
    </row>
    <row r="6" spans="1:34">
      <c r="A6" s="3" t="s">
        <v>457</v>
      </c>
      <c r="B6" s="3" t="s">
        <v>458</v>
      </c>
      <c r="C6" s="3" t="s">
        <v>153</v>
      </c>
      <c r="D6" s="3" t="s">
        <v>154</v>
      </c>
      <c r="E6" s="3" t="s">
        <v>154</v>
      </c>
      <c r="F6" s="3" t="s">
        <v>454</v>
      </c>
      <c r="G6" s="3" t="s">
        <v>204</v>
      </c>
      <c r="H6" s="3" t="s">
        <v>205</v>
      </c>
      <c r="I6" s="3" t="s">
        <v>170</v>
      </c>
      <c r="J6" s="3" t="s">
        <v>153</v>
      </c>
      <c r="K6" s="3" t="s">
        <v>454</v>
      </c>
      <c r="L6" s="3" t="s">
        <v>454</v>
      </c>
      <c r="M6" s="3" t="s">
        <v>454</v>
      </c>
      <c r="N6" s="3" t="s">
        <v>153</v>
      </c>
      <c r="O6" s="3" t="s">
        <v>153</v>
      </c>
      <c r="P6" s="3" t="s">
        <v>459</v>
      </c>
      <c r="Q6" s="3" t="str">
        <f t="shared" si="0"/>
        <v>B_DOMINATES_A</v>
      </c>
      <c r="R6" s="3" t="str">
        <f t="shared" si="1"/>
        <v>PASS</v>
      </c>
      <c r="S6" s="3" t="s">
        <v>460</v>
      </c>
      <c r="T6" s="3" t="str">
        <f t="shared" si="2"/>
        <v>B_DOMINANCE</v>
      </c>
      <c r="U6" s="3" t="str">
        <f t="shared" si="3"/>
        <v>PASS</v>
      </c>
      <c r="V6" s="2" t="b">
        <f t="shared" si="4"/>
        <v>1</v>
      </c>
      <c r="W6" s="2" t="b">
        <f t="shared" si="5"/>
        <v>1</v>
      </c>
      <c r="X6" s="2" t="b">
        <f t="shared" si="6"/>
        <v>0</v>
      </c>
      <c r="Y6" s="2" t="b">
        <f t="shared" si="7"/>
        <v>0</v>
      </c>
      <c r="Z6" s="2" t="b">
        <f t="shared" si="8"/>
        <v>0</v>
      </c>
      <c r="AA6" s="2" t="b">
        <f t="shared" si="9"/>
        <v>0</v>
      </c>
      <c r="AB6" s="2" t="b">
        <f t="shared" si="10"/>
        <v>1</v>
      </c>
      <c r="AC6" s="2" t="b">
        <f t="shared" si="11"/>
        <v>0</v>
      </c>
      <c r="AD6" s="2" t="b">
        <f t="shared" si="12"/>
        <v>0</v>
      </c>
      <c r="AE6" s="2" t="b">
        <f t="shared" si="13"/>
        <v>1</v>
      </c>
      <c r="AF6" t="s">
        <v>206</v>
      </c>
      <c r="AG6" t="b">
        <f t="shared" si="14"/>
        <v>0</v>
      </c>
    </row>
    <row r="7" spans="1:34">
      <c r="A7" s="3" t="s">
        <v>461</v>
      </c>
      <c r="B7" s="3" t="s">
        <v>462</v>
      </c>
      <c r="C7" s="3" t="s">
        <v>153</v>
      </c>
      <c r="D7" s="3" t="s">
        <v>154</v>
      </c>
      <c r="E7" s="3" t="s">
        <v>154</v>
      </c>
      <c r="F7" s="3" t="s">
        <v>454</v>
      </c>
      <c r="G7" s="3" t="s">
        <v>204</v>
      </c>
      <c r="H7" s="3" t="s">
        <v>205</v>
      </c>
      <c r="I7" s="3" t="s">
        <v>170</v>
      </c>
      <c r="J7" s="3" t="s">
        <v>153</v>
      </c>
      <c r="K7" s="3" t="s">
        <v>454</v>
      </c>
      <c r="L7" s="3" t="s">
        <v>454</v>
      </c>
      <c r="M7" s="3" t="s">
        <v>153</v>
      </c>
      <c r="N7" s="3" t="s">
        <v>454</v>
      </c>
      <c r="O7" s="3" t="s">
        <v>153</v>
      </c>
      <c r="P7" s="3" t="s">
        <v>463</v>
      </c>
      <c r="Q7" s="3" t="str">
        <f t="shared" si="0"/>
        <v>TRADE_OFFS_REMAIN</v>
      </c>
      <c r="R7" s="3" t="str">
        <f t="shared" si="1"/>
        <v>PASS</v>
      </c>
      <c r="S7" s="3" t="s">
        <v>464</v>
      </c>
      <c r="T7" s="3" t="str">
        <f t="shared" si="2"/>
        <v>TRADE_OFFS</v>
      </c>
      <c r="U7" s="3" t="str">
        <f t="shared" si="3"/>
        <v>PASS</v>
      </c>
      <c r="V7" s="2" t="b">
        <f t="shared" si="4"/>
        <v>1</v>
      </c>
      <c r="W7" s="2" t="b">
        <f t="shared" si="5"/>
        <v>1</v>
      </c>
      <c r="X7" s="2" t="b">
        <f t="shared" si="6"/>
        <v>0</v>
      </c>
      <c r="Y7" s="2" t="b">
        <f t="shared" si="7"/>
        <v>0</v>
      </c>
      <c r="Z7" s="2" t="b">
        <f t="shared" si="8"/>
        <v>0</v>
      </c>
      <c r="AA7" s="2" t="b">
        <f t="shared" si="9"/>
        <v>0</v>
      </c>
      <c r="AB7" s="2" t="b">
        <f t="shared" si="10"/>
        <v>1</v>
      </c>
      <c r="AC7" s="2" t="b">
        <f t="shared" si="11"/>
        <v>0</v>
      </c>
      <c r="AD7" s="2" t="b">
        <f t="shared" si="12"/>
        <v>0</v>
      </c>
      <c r="AE7" s="2" t="b">
        <f t="shared" si="13"/>
        <v>0</v>
      </c>
      <c r="AF7" t="s">
        <v>206</v>
      </c>
      <c r="AG7" t="b">
        <f t="shared" si="14"/>
        <v>0</v>
      </c>
    </row>
    <row r="8" spans="1:34">
      <c r="A8" s="3" t="s">
        <v>465</v>
      </c>
      <c r="B8" s="3" t="s">
        <v>466</v>
      </c>
      <c r="C8" s="3" t="s">
        <v>153</v>
      </c>
      <c r="D8" s="3" t="s">
        <v>403</v>
      </c>
      <c r="E8" s="3" t="s">
        <v>154</v>
      </c>
      <c r="F8" s="3" t="s">
        <v>454</v>
      </c>
      <c r="G8" s="3" t="s">
        <v>204</v>
      </c>
      <c r="H8" s="3" t="s">
        <v>205</v>
      </c>
      <c r="I8" s="3" t="s">
        <v>170</v>
      </c>
      <c r="J8" s="3" t="s">
        <v>153</v>
      </c>
      <c r="K8" s="3" t="s">
        <v>454</v>
      </c>
      <c r="L8" s="3" t="s">
        <v>153</v>
      </c>
      <c r="M8" s="3" t="s">
        <v>153</v>
      </c>
      <c r="N8" s="3" t="s">
        <v>454</v>
      </c>
      <c r="O8" s="3" t="s">
        <v>454</v>
      </c>
      <c r="P8" s="3" t="s">
        <v>467</v>
      </c>
      <c r="Q8" s="3" t="str">
        <f t="shared" si="0"/>
        <v>NOT_COMPARABLE</v>
      </c>
      <c r="R8" s="3" t="str">
        <f t="shared" si="1"/>
        <v>PASS</v>
      </c>
      <c r="S8" s="3" t="s">
        <v>468</v>
      </c>
      <c r="T8" s="3" t="str">
        <f t="shared" si="2"/>
        <v>INVALID_BOUNDARY</v>
      </c>
      <c r="U8" s="3" t="str">
        <f t="shared" si="3"/>
        <v>PASS</v>
      </c>
      <c r="V8" s="2" t="b">
        <f t="shared" si="4"/>
        <v>0</v>
      </c>
      <c r="W8" s="2" t="b">
        <f t="shared" si="5"/>
        <v>1</v>
      </c>
      <c r="X8" s="2" t="b">
        <f t="shared" si="6"/>
        <v>0</v>
      </c>
      <c r="Y8" s="2" t="b">
        <f t="shared" si="7"/>
        <v>0</v>
      </c>
      <c r="Z8" s="2" t="b">
        <f t="shared" si="8"/>
        <v>0</v>
      </c>
      <c r="AA8" s="2" t="b">
        <f t="shared" si="9"/>
        <v>0</v>
      </c>
      <c r="AB8" s="2" t="b">
        <f t="shared" si="10"/>
        <v>1</v>
      </c>
      <c r="AC8" s="2" t="b">
        <f t="shared" si="11"/>
        <v>0</v>
      </c>
      <c r="AD8" s="2" t="b">
        <f t="shared" si="12"/>
        <v>1</v>
      </c>
      <c r="AE8" s="2" t="b">
        <f t="shared" si="13"/>
        <v>0</v>
      </c>
      <c r="AF8" t="s">
        <v>206</v>
      </c>
      <c r="AG8" t="b">
        <f t="shared" si="14"/>
        <v>0</v>
      </c>
    </row>
    <row r="9" spans="1:34" ht="25.5">
      <c r="A9" s="3" t="s">
        <v>469</v>
      </c>
      <c r="B9" s="3" t="s">
        <v>470</v>
      </c>
      <c r="C9" s="3" t="s">
        <v>153</v>
      </c>
      <c r="D9" s="3" t="s">
        <v>154</v>
      </c>
      <c r="E9" s="3" t="s">
        <v>396</v>
      </c>
      <c r="F9" s="3" t="s">
        <v>454</v>
      </c>
      <c r="G9" s="3" t="s">
        <v>204</v>
      </c>
      <c r="H9" s="3" t="s">
        <v>205</v>
      </c>
      <c r="I9" s="3" t="s">
        <v>170</v>
      </c>
      <c r="J9" s="3" t="s">
        <v>153</v>
      </c>
      <c r="K9" s="3" t="s">
        <v>454</v>
      </c>
      <c r="L9" s="3" t="s">
        <v>153</v>
      </c>
      <c r="M9" s="3" t="s">
        <v>153</v>
      </c>
      <c r="N9" s="3" t="s">
        <v>454</v>
      </c>
      <c r="O9" s="3" t="s">
        <v>454</v>
      </c>
      <c r="P9" s="3" t="s">
        <v>467</v>
      </c>
      <c r="Q9" s="3" t="str">
        <f t="shared" si="0"/>
        <v>NOT_COMPARABLE</v>
      </c>
      <c r="R9" s="3" t="str">
        <f t="shared" si="1"/>
        <v>PASS</v>
      </c>
      <c r="S9" s="3" t="s">
        <v>468</v>
      </c>
      <c r="T9" s="3" t="str">
        <f t="shared" si="2"/>
        <v>INVALID_BOUNDARY</v>
      </c>
      <c r="U9" s="3" t="str">
        <f t="shared" si="3"/>
        <v>PASS</v>
      </c>
      <c r="V9" s="2" t="b">
        <f t="shared" si="4"/>
        <v>1</v>
      </c>
      <c r="W9" s="2" t="b">
        <f t="shared" si="5"/>
        <v>0</v>
      </c>
      <c r="X9" s="2" t="b">
        <f t="shared" si="6"/>
        <v>0</v>
      </c>
      <c r="Y9" s="2" t="b">
        <f t="shared" si="7"/>
        <v>0</v>
      </c>
      <c r="Z9" s="2" t="b">
        <f t="shared" si="8"/>
        <v>0</v>
      </c>
      <c r="AA9" s="2" t="b">
        <f t="shared" si="9"/>
        <v>0</v>
      </c>
      <c r="AB9" s="2" t="b">
        <f t="shared" si="10"/>
        <v>1</v>
      </c>
      <c r="AC9" s="2" t="b">
        <f t="shared" si="11"/>
        <v>0</v>
      </c>
      <c r="AD9" s="2" t="b">
        <f t="shared" si="12"/>
        <v>1</v>
      </c>
      <c r="AE9" s="2" t="b">
        <f t="shared" si="13"/>
        <v>0</v>
      </c>
      <c r="AF9" t="s">
        <v>206</v>
      </c>
      <c r="AG9" t="b">
        <f t="shared" si="14"/>
        <v>0</v>
      </c>
    </row>
    <row r="10" spans="1:34">
      <c r="A10" s="3" t="s">
        <v>471</v>
      </c>
      <c r="B10" s="3" t="s">
        <v>472</v>
      </c>
      <c r="C10" s="3" t="s">
        <v>153</v>
      </c>
      <c r="D10" s="3" t="s">
        <v>154</v>
      </c>
      <c r="E10" s="3" t="s">
        <v>154</v>
      </c>
      <c r="F10" s="3" t="s">
        <v>153</v>
      </c>
      <c r="G10" s="3" t="s">
        <v>204</v>
      </c>
      <c r="H10" s="3" t="s">
        <v>205</v>
      </c>
      <c r="I10" s="3" t="s">
        <v>170</v>
      </c>
      <c r="J10" s="3" t="s">
        <v>153</v>
      </c>
      <c r="K10" s="3" t="s">
        <v>454</v>
      </c>
      <c r="L10" s="3" t="s">
        <v>153</v>
      </c>
      <c r="M10" s="3" t="s">
        <v>153</v>
      </c>
      <c r="N10" s="3" t="s">
        <v>454</v>
      </c>
      <c r="O10" s="3" t="s">
        <v>454</v>
      </c>
      <c r="P10" s="3" t="s">
        <v>415</v>
      </c>
      <c r="Q10" s="3" t="str">
        <f t="shared" si="0"/>
        <v>DUPLICATE</v>
      </c>
      <c r="R10" s="3" t="str">
        <f t="shared" si="1"/>
        <v>PASS</v>
      </c>
      <c r="S10" s="3" t="s">
        <v>473</v>
      </c>
      <c r="T10" s="3" t="str">
        <f t="shared" si="2"/>
        <v>DUPLICATE_SIGNATURE</v>
      </c>
      <c r="U10" s="3" t="str">
        <f t="shared" si="3"/>
        <v>PASS</v>
      </c>
      <c r="V10" s="2" t="b">
        <f t="shared" si="4"/>
        <v>1</v>
      </c>
      <c r="W10" s="2" t="b">
        <f t="shared" si="5"/>
        <v>1</v>
      </c>
      <c r="X10" s="2" t="b">
        <f t="shared" si="6"/>
        <v>1</v>
      </c>
      <c r="Y10" s="2" t="b">
        <f t="shared" si="7"/>
        <v>0</v>
      </c>
      <c r="Z10" s="2" t="b">
        <f t="shared" si="8"/>
        <v>0</v>
      </c>
      <c r="AA10" s="2" t="b">
        <f t="shared" si="9"/>
        <v>0</v>
      </c>
      <c r="AB10" s="2" t="b">
        <f t="shared" si="10"/>
        <v>1</v>
      </c>
      <c r="AC10" s="2" t="b">
        <f t="shared" si="11"/>
        <v>0</v>
      </c>
      <c r="AD10" s="2" t="b">
        <f t="shared" si="12"/>
        <v>1</v>
      </c>
      <c r="AE10" s="2" t="b">
        <f t="shared" si="13"/>
        <v>0</v>
      </c>
      <c r="AF10" t="s">
        <v>206</v>
      </c>
      <c r="AG10" t="b">
        <f t="shared" si="14"/>
        <v>0</v>
      </c>
    </row>
    <row r="11" spans="1:34" ht="25.5">
      <c r="A11" s="3" t="s">
        <v>474</v>
      </c>
      <c r="B11" s="3" t="s">
        <v>475</v>
      </c>
      <c r="C11" s="3" t="s">
        <v>153</v>
      </c>
      <c r="D11" s="3" t="s">
        <v>154</v>
      </c>
      <c r="E11" s="3" t="s">
        <v>154</v>
      </c>
      <c r="F11" s="3" t="s">
        <v>454</v>
      </c>
      <c r="G11" s="3" t="s">
        <v>404</v>
      </c>
      <c r="H11" s="3" t="s">
        <v>205</v>
      </c>
      <c r="I11" s="3" t="s">
        <v>170</v>
      </c>
      <c r="J11" s="3" t="s">
        <v>153</v>
      </c>
      <c r="K11" s="3" t="s">
        <v>454</v>
      </c>
      <c r="L11" s="3" t="s">
        <v>153</v>
      </c>
      <c r="M11" s="3" t="s">
        <v>153</v>
      </c>
      <c r="N11" s="3" t="s">
        <v>454</v>
      </c>
      <c r="O11" s="3" t="s">
        <v>454</v>
      </c>
      <c r="P11" s="3" t="s">
        <v>415</v>
      </c>
      <c r="Q11" s="3" t="str">
        <f t="shared" si="0"/>
        <v>DUPLICATE</v>
      </c>
      <c r="R11" s="3" t="str">
        <f t="shared" si="1"/>
        <v>PASS</v>
      </c>
      <c r="S11" s="3" t="s">
        <v>476</v>
      </c>
      <c r="T11" s="3" t="str">
        <f t="shared" si="2"/>
        <v>DUPLICATE_RELATION</v>
      </c>
      <c r="U11" s="3" t="str">
        <f t="shared" si="3"/>
        <v>PASS</v>
      </c>
      <c r="V11" s="2" t="b">
        <f t="shared" si="4"/>
        <v>1</v>
      </c>
      <c r="W11" s="2" t="b">
        <f t="shared" si="5"/>
        <v>1</v>
      </c>
      <c r="X11" s="2" t="b">
        <f t="shared" si="6"/>
        <v>0</v>
      </c>
      <c r="Y11" s="2" t="b">
        <f t="shared" si="7"/>
        <v>1</v>
      </c>
      <c r="Z11" s="2" t="b">
        <f t="shared" si="8"/>
        <v>0</v>
      </c>
      <c r="AA11" s="2" t="b">
        <f t="shared" si="9"/>
        <v>0</v>
      </c>
      <c r="AB11" s="2" t="b">
        <f t="shared" si="10"/>
        <v>1</v>
      </c>
      <c r="AC11" s="2" t="b">
        <f t="shared" si="11"/>
        <v>0</v>
      </c>
      <c r="AD11" s="2" t="b">
        <f t="shared" si="12"/>
        <v>1</v>
      </c>
      <c r="AE11" s="2" t="b">
        <f t="shared" si="13"/>
        <v>0</v>
      </c>
      <c r="AF11" t="s">
        <v>206</v>
      </c>
      <c r="AG11" t="b">
        <f t="shared" si="14"/>
        <v>0</v>
      </c>
    </row>
    <row r="12" spans="1:34">
      <c r="A12" s="3" t="s">
        <v>477</v>
      </c>
      <c r="B12" s="3" t="s">
        <v>478</v>
      </c>
      <c r="C12" s="3" t="s">
        <v>153</v>
      </c>
      <c r="D12" s="3" t="s">
        <v>154</v>
      </c>
      <c r="E12" s="3" t="s">
        <v>154</v>
      </c>
      <c r="F12" s="3" t="s">
        <v>454</v>
      </c>
      <c r="G12" s="3" t="s">
        <v>204</v>
      </c>
      <c r="H12" s="3" t="s">
        <v>415</v>
      </c>
      <c r="I12" s="3" t="s">
        <v>170</v>
      </c>
      <c r="J12" s="3" t="s">
        <v>153</v>
      </c>
      <c r="K12" s="3" t="s">
        <v>454</v>
      </c>
      <c r="L12" s="3" t="s">
        <v>153</v>
      </c>
      <c r="M12" s="3" t="s">
        <v>153</v>
      </c>
      <c r="N12" s="3" t="s">
        <v>454</v>
      </c>
      <c r="O12" s="3" t="s">
        <v>454</v>
      </c>
      <c r="P12" s="3" t="s">
        <v>415</v>
      </c>
      <c r="Q12" s="3" t="str">
        <f t="shared" si="0"/>
        <v>DUPLICATE</v>
      </c>
      <c r="R12" s="3" t="str">
        <f t="shared" si="1"/>
        <v>PASS</v>
      </c>
      <c r="S12" s="3" t="s">
        <v>476</v>
      </c>
      <c r="T12" s="3" t="str">
        <f t="shared" si="2"/>
        <v>DUPLICATE_RELATION</v>
      </c>
      <c r="U12" s="3" t="str">
        <f t="shared" si="3"/>
        <v>PASS</v>
      </c>
      <c r="V12" s="2" t="b">
        <f t="shared" si="4"/>
        <v>1</v>
      </c>
      <c r="W12" s="2" t="b">
        <f t="shared" si="5"/>
        <v>1</v>
      </c>
      <c r="X12" s="2" t="b">
        <f t="shared" si="6"/>
        <v>0</v>
      </c>
      <c r="Y12" s="2" t="b">
        <f t="shared" si="7"/>
        <v>1</v>
      </c>
      <c r="Z12" s="2" t="b">
        <f t="shared" si="8"/>
        <v>0</v>
      </c>
      <c r="AA12" s="2" t="b">
        <f t="shared" si="9"/>
        <v>0</v>
      </c>
      <c r="AB12" s="2" t="b">
        <f t="shared" si="10"/>
        <v>1</v>
      </c>
      <c r="AC12" s="2" t="b">
        <f t="shared" si="11"/>
        <v>0</v>
      </c>
      <c r="AD12" s="2" t="b">
        <f t="shared" si="12"/>
        <v>1</v>
      </c>
      <c r="AE12" s="2" t="b">
        <f t="shared" si="13"/>
        <v>0</v>
      </c>
      <c r="AF12" t="s">
        <v>206</v>
      </c>
      <c r="AG12" t="b">
        <f t="shared" si="14"/>
        <v>0</v>
      </c>
    </row>
    <row r="13" spans="1:34">
      <c r="A13" s="3" t="s">
        <v>479</v>
      </c>
      <c r="B13" s="3" t="s">
        <v>480</v>
      </c>
      <c r="C13" s="3" t="s">
        <v>153</v>
      </c>
      <c r="D13" s="3" t="s">
        <v>154</v>
      </c>
      <c r="E13" s="3" t="s">
        <v>154</v>
      </c>
      <c r="F13" s="3" t="s">
        <v>454</v>
      </c>
      <c r="G13" s="3" t="s">
        <v>409</v>
      </c>
      <c r="H13" s="3" t="s">
        <v>205</v>
      </c>
      <c r="I13" s="3" t="s">
        <v>170</v>
      </c>
      <c r="J13" s="3" t="s">
        <v>153</v>
      </c>
      <c r="K13" s="3" t="s">
        <v>454</v>
      </c>
      <c r="L13" s="3" t="s">
        <v>153</v>
      </c>
      <c r="M13" s="3" t="s">
        <v>153</v>
      </c>
      <c r="N13" s="3" t="s">
        <v>454</v>
      </c>
      <c r="O13" s="3" t="s">
        <v>454</v>
      </c>
      <c r="P13" s="3" t="s">
        <v>481</v>
      </c>
      <c r="Q13" s="3" t="str">
        <f t="shared" si="0"/>
        <v>OVERLAPPING</v>
      </c>
      <c r="R13" s="3" t="str">
        <f t="shared" si="1"/>
        <v>PASS</v>
      </c>
      <c r="S13" s="3" t="s">
        <v>482</v>
      </c>
      <c r="T13" s="3" t="str">
        <f t="shared" si="2"/>
        <v>OVERLAP_NESTING</v>
      </c>
      <c r="U13" s="3" t="str">
        <f t="shared" si="3"/>
        <v>PASS</v>
      </c>
      <c r="V13" s="2" t="b">
        <f t="shared" si="4"/>
        <v>1</v>
      </c>
      <c r="W13" s="2" t="b">
        <f t="shared" si="5"/>
        <v>1</v>
      </c>
      <c r="X13" s="2" t="b">
        <f t="shared" si="6"/>
        <v>0</v>
      </c>
      <c r="Y13" s="2" t="b">
        <f t="shared" si="7"/>
        <v>0</v>
      </c>
      <c r="Z13" s="2" t="b">
        <f t="shared" si="8"/>
        <v>1</v>
      </c>
      <c r="AA13" s="2" t="b">
        <f t="shared" si="9"/>
        <v>0</v>
      </c>
      <c r="AB13" s="2" t="b">
        <f t="shared" si="10"/>
        <v>1</v>
      </c>
      <c r="AC13" s="2" t="b">
        <f t="shared" si="11"/>
        <v>0</v>
      </c>
      <c r="AD13" s="2" t="b">
        <f t="shared" si="12"/>
        <v>1</v>
      </c>
      <c r="AE13" s="2" t="b">
        <f t="shared" si="13"/>
        <v>0</v>
      </c>
      <c r="AF13" t="s">
        <v>206</v>
      </c>
      <c r="AG13" t="b">
        <f t="shared" si="14"/>
        <v>0</v>
      </c>
    </row>
    <row r="14" spans="1:34">
      <c r="A14" s="3" t="s">
        <v>483</v>
      </c>
      <c r="B14" s="3" t="s">
        <v>484</v>
      </c>
      <c r="C14" s="3" t="s">
        <v>153</v>
      </c>
      <c r="D14" s="3" t="s">
        <v>154</v>
      </c>
      <c r="E14" s="3" t="s">
        <v>154</v>
      </c>
      <c r="F14" s="3" t="s">
        <v>454</v>
      </c>
      <c r="G14" s="3" t="s">
        <v>204</v>
      </c>
      <c r="H14" s="3" t="s">
        <v>410</v>
      </c>
      <c r="I14" s="3" t="s">
        <v>170</v>
      </c>
      <c r="J14" s="3" t="s">
        <v>153</v>
      </c>
      <c r="K14" s="3" t="s">
        <v>454</v>
      </c>
      <c r="L14" s="3" t="s">
        <v>153</v>
      </c>
      <c r="M14" s="3" t="s">
        <v>153</v>
      </c>
      <c r="N14" s="3" t="s">
        <v>454</v>
      </c>
      <c r="O14" s="3" t="s">
        <v>454</v>
      </c>
      <c r="P14" s="3" t="s">
        <v>481</v>
      </c>
      <c r="Q14" s="3" t="str">
        <f t="shared" si="0"/>
        <v>OVERLAPPING</v>
      </c>
      <c r="R14" s="3" t="str">
        <f t="shared" si="1"/>
        <v>PASS</v>
      </c>
      <c r="S14" s="3" t="s">
        <v>482</v>
      </c>
      <c r="T14" s="3" t="str">
        <f t="shared" si="2"/>
        <v>OVERLAP_NESTING</v>
      </c>
      <c r="U14" s="3" t="str">
        <f t="shared" si="3"/>
        <v>PASS</v>
      </c>
      <c r="V14" s="2" t="b">
        <f t="shared" si="4"/>
        <v>1</v>
      </c>
      <c r="W14" s="2" t="b">
        <f t="shared" si="5"/>
        <v>1</v>
      </c>
      <c r="X14" s="2" t="b">
        <f t="shared" si="6"/>
        <v>0</v>
      </c>
      <c r="Y14" s="2" t="b">
        <f t="shared" si="7"/>
        <v>0</v>
      </c>
      <c r="Z14" s="2" t="b">
        <f t="shared" si="8"/>
        <v>1</v>
      </c>
      <c r="AA14" s="2" t="b">
        <f t="shared" si="9"/>
        <v>0</v>
      </c>
      <c r="AB14" s="2" t="b">
        <f t="shared" si="10"/>
        <v>1</v>
      </c>
      <c r="AC14" s="2" t="b">
        <f t="shared" si="11"/>
        <v>0</v>
      </c>
      <c r="AD14" s="2" t="b">
        <f t="shared" si="12"/>
        <v>1</v>
      </c>
      <c r="AE14" s="2" t="b">
        <f t="shared" si="13"/>
        <v>0</v>
      </c>
      <c r="AF14" t="s">
        <v>206</v>
      </c>
      <c r="AG14" t="b">
        <f t="shared" si="14"/>
        <v>0</v>
      </c>
    </row>
    <row r="15" spans="1:34">
      <c r="A15" s="3" t="s">
        <v>485</v>
      </c>
      <c r="B15" s="3" t="s">
        <v>486</v>
      </c>
      <c r="C15" s="3" t="s">
        <v>153</v>
      </c>
      <c r="D15" s="3" t="s">
        <v>154</v>
      </c>
      <c r="E15" s="3" t="s">
        <v>154</v>
      </c>
      <c r="F15" s="3" t="s">
        <v>454</v>
      </c>
      <c r="G15" s="3" t="s">
        <v>204</v>
      </c>
      <c r="H15" s="3" t="s">
        <v>405</v>
      </c>
      <c r="I15" s="3" t="s">
        <v>170</v>
      </c>
      <c r="J15" s="3" t="s">
        <v>153</v>
      </c>
      <c r="K15" s="3" t="s">
        <v>454</v>
      </c>
      <c r="L15" s="3" t="s">
        <v>153</v>
      </c>
      <c r="M15" s="3" t="s">
        <v>153</v>
      </c>
      <c r="N15" s="3" t="s">
        <v>454</v>
      </c>
      <c r="O15" s="3" t="s">
        <v>454</v>
      </c>
      <c r="P15" s="3" t="s">
        <v>481</v>
      </c>
      <c r="Q15" s="3" t="str">
        <f t="shared" si="0"/>
        <v>OVERLAPPING</v>
      </c>
      <c r="R15" s="3" t="str">
        <f t="shared" si="1"/>
        <v>PASS</v>
      </c>
      <c r="S15" s="3" t="s">
        <v>482</v>
      </c>
      <c r="T15" s="3" t="str">
        <f t="shared" si="2"/>
        <v>OVERLAP_NESTING</v>
      </c>
      <c r="U15" s="3" t="str">
        <f t="shared" si="3"/>
        <v>PASS</v>
      </c>
      <c r="V15" s="2" t="b">
        <f t="shared" si="4"/>
        <v>1</v>
      </c>
      <c r="W15" s="2" t="b">
        <f t="shared" si="5"/>
        <v>1</v>
      </c>
      <c r="X15" s="2" t="b">
        <f t="shared" si="6"/>
        <v>0</v>
      </c>
      <c r="Y15" s="2" t="b">
        <f t="shared" si="7"/>
        <v>0</v>
      </c>
      <c r="Z15" s="2" t="b">
        <f t="shared" si="8"/>
        <v>1</v>
      </c>
      <c r="AA15" s="2" t="b">
        <f t="shared" si="9"/>
        <v>0</v>
      </c>
      <c r="AB15" s="2" t="b">
        <f t="shared" si="10"/>
        <v>1</v>
      </c>
      <c r="AC15" s="2" t="b">
        <f t="shared" si="11"/>
        <v>0</v>
      </c>
      <c r="AD15" s="2" t="b">
        <f t="shared" si="12"/>
        <v>1</v>
      </c>
      <c r="AE15" s="2" t="b">
        <f t="shared" si="13"/>
        <v>0</v>
      </c>
      <c r="AF15" t="s">
        <v>206</v>
      </c>
      <c r="AG15" t="b">
        <f t="shared" si="14"/>
        <v>0</v>
      </c>
    </row>
    <row r="16" spans="1:34">
      <c r="A16" s="3" t="s">
        <v>487</v>
      </c>
      <c r="B16" s="3" t="s">
        <v>488</v>
      </c>
      <c r="C16" s="3" t="s">
        <v>153</v>
      </c>
      <c r="D16" s="3" t="s">
        <v>154</v>
      </c>
      <c r="E16" s="3" t="s">
        <v>154</v>
      </c>
      <c r="F16" s="3" t="s">
        <v>454</v>
      </c>
      <c r="G16" s="3" t="s">
        <v>397</v>
      </c>
      <c r="H16" s="3" t="s">
        <v>205</v>
      </c>
      <c r="I16" s="3" t="s">
        <v>170</v>
      </c>
      <c r="J16" s="3" t="s">
        <v>153</v>
      </c>
      <c r="K16" s="3" t="s">
        <v>454</v>
      </c>
      <c r="L16" s="3" t="s">
        <v>153</v>
      </c>
      <c r="M16" s="3" t="s">
        <v>153</v>
      </c>
      <c r="N16" s="3" t="s">
        <v>454</v>
      </c>
      <c r="O16" s="3" t="s">
        <v>454</v>
      </c>
      <c r="P16" s="3" t="s">
        <v>481</v>
      </c>
      <c r="Q16" s="3" t="str">
        <f t="shared" si="0"/>
        <v>OVERLAPPING</v>
      </c>
      <c r="R16" s="3" t="str">
        <f t="shared" si="1"/>
        <v>PASS</v>
      </c>
      <c r="S16" s="3" t="s">
        <v>482</v>
      </c>
      <c r="T16" s="3" t="str">
        <f t="shared" si="2"/>
        <v>OVERLAP_NESTING</v>
      </c>
      <c r="U16" s="3" t="str">
        <f t="shared" si="3"/>
        <v>PASS</v>
      </c>
      <c r="V16" s="2" t="b">
        <f t="shared" si="4"/>
        <v>1</v>
      </c>
      <c r="W16" s="2" t="b">
        <f t="shared" si="5"/>
        <v>1</v>
      </c>
      <c r="X16" s="2" t="b">
        <f t="shared" si="6"/>
        <v>0</v>
      </c>
      <c r="Y16" s="2" t="b">
        <f t="shared" si="7"/>
        <v>0</v>
      </c>
      <c r="Z16" s="2" t="b">
        <f t="shared" si="8"/>
        <v>1</v>
      </c>
      <c r="AA16" s="2" t="b">
        <f t="shared" si="9"/>
        <v>0</v>
      </c>
      <c r="AB16" s="2" t="b">
        <f t="shared" si="10"/>
        <v>1</v>
      </c>
      <c r="AC16" s="2" t="b">
        <f t="shared" si="11"/>
        <v>0</v>
      </c>
      <c r="AD16" s="2" t="b">
        <f t="shared" si="12"/>
        <v>1</v>
      </c>
      <c r="AE16" s="2" t="b">
        <f t="shared" si="13"/>
        <v>0</v>
      </c>
      <c r="AF16" t="s">
        <v>206</v>
      </c>
      <c r="AG16" t="b">
        <f t="shared" si="14"/>
        <v>0</v>
      </c>
    </row>
    <row r="17" spans="1:34">
      <c r="A17" s="3" t="s">
        <v>489</v>
      </c>
      <c r="B17" s="3" t="s">
        <v>490</v>
      </c>
      <c r="C17" s="3" t="s">
        <v>153</v>
      </c>
      <c r="D17" s="3" t="s">
        <v>154</v>
      </c>
      <c r="E17" s="3" t="s">
        <v>154</v>
      </c>
      <c r="F17" s="3" t="s">
        <v>454</v>
      </c>
      <c r="G17" s="3" t="s">
        <v>204</v>
      </c>
      <c r="H17" s="3" t="s">
        <v>398</v>
      </c>
      <c r="I17" s="3" t="s">
        <v>170</v>
      </c>
      <c r="J17" s="3" t="s">
        <v>153</v>
      </c>
      <c r="K17" s="3" t="s">
        <v>454</v>
      </c>
      <c r="L17" s="3" t="s">
        <v>153</v>
      </c>
      <c r="M17" s="3" t="s">
        <v>153</v>
      </c>
      <c r="N17" s="3" t="s">
        <v>454</v>
      </c>
      <c r="O17" s="3" t="s">
        <v>454</v>
      </c>
      <c r="P17" s="3" t="s">
        <v>481</v>
      </c>
      <c r="Q17" s="3" t="str">
        <f t="shared" si="0"/>
        <v>OVERLAPPING</v>
      </c>
      <c r="R17" s="3" t="str">
        <f t="shared" si="1"/>
        <v>PASS</v>
      </c>
      <c r="S17" s="3" t="s">
        <v>482</v>
      </c>
      <c r="T17" s="3" t="str">
        <f t="shared" si="2"/>
        <v>OVERLAP_NESTING</v>
      </c>
      <c r="U17" s="3" t="str">
        <f t="shared" si="3"/>
        <v>PASS</v>
      </c>
      <c r="V17" s="2" t="b">
        <f t="shared" si="4"/>
        <v>1</v>
      </c>
      <c r="W17" s="2" t="b">
        <f t="shared" si="5"/>
        <v>1</v>
      </c>
      <c r="X17" s="2" t="b">
        <f t="shared" si="6"/>
        <v>0</v>
      </c>
      <c r="Y17" s="2" t="b">
        <f t="shared" si="7"/>
        <v>0</v>
      </c>
      <c r="Z17" s="2" t="b">
        <f t="shared" si="8"/>
        <v>1</v>
      </c>
      <c r="AA17" s="2" t="b">
        <f t="shared" si="9"/>
        <v>0</v>
      </c>
      <c r="AB17" s="2" t="b">
        <f t="shared" si="10"/>
        <v>1</v>
      </c>
      <c r="AC17" s="2" t="b">
        <f t="shared" si="11"/>
        <v>0</v>
      </c>
      <c r="AD17" s="2" t="b">
        <f t="shared" si="12"/>
        <v>1</v>
      </c>
      <c r="AE17" s="2" t="b">
        <f t="shared" si="13"/>
        <v>0</v>
      </c>
      <c r="AF17" t="s">
        <v>206</v>
      </c>
      <c r="AG17" t="b">
        <f t="shared" si="14"/>
        <v>0</v>
      </c>
    </row>
    <row r="18" spans="1:34">
      <c r="A18" s="3" t="s">
        <v>491</v>
      </c>
      <c r="B18" s="3" t="s">
        <v>492</v>
      </c>
      <c r="C18" s="3" t="s">
        <v>153</v>
      </c>
      <c r="D18" s="3" t="s">
        <v>154</v>
      </c>
      <c r="E18" s="3" t="s">
        <v>154</v>
      </c>
      <c r="F18" s="3" t="s">
        <v>454</v>
      </c>
      <c r="G18" s="3" t="s">
        <v>204</v>
      </c>
      <c r="H18" s="3" t="s">
        <v>205</v>
      </c>
      <c r="I18" s="3" t="s">
        <v>210</v>
      </c>
      <c r="J18" s="3" t="s">
        <v>153</v>
      </c>
      <c r="K18" s="3" t="s">
        <v>454</v>
      </c>
      <c r="L18" s="3" t="s">
        <v>153</v>
      </c>
      <c r="M18" s="3" t="s">
        <v>153</v>
      </c>
      <c r="N18" s="3" t="s">
        <v>454</v>
      </c>
      <c r="O18" s="3" t="s">
        <v>454</v>
      </c>
      <c r="P18" s="3" t="s">
        <v>295</v>
      </c>
      <c r="Q18" s="3" t="str">
        <f t="shared" si="0"/>
        <v>DEPENDENT</v>
      </c>
      <c r="R18" s="3" t="str">
        <f t="shared" si="1"/>
        <v>PASS</v>
      </c>
      <c r="S18" s="3" t="s">
        <v>493</v>
      </c>
      <c r="T18" s="3" t="str">
        <f t="shared" si="2"/>
        <v>DEPENDENCY</v>
      </c>
      <c r="U18" s="3" t="str">
        <f t="shared" si="3"/>
        <v>PASS</v>
      </c>
      <c r="V18" s="2" t="b">
        <f t="shared" si="4"/>
        <v>1</v>
      </c>
      <c r="W18" s="2" t="b">
        <f t="shared" si="5"/>
        <v>1</v>
      </c>
      <c r="X18" s="2" t="b">
        <f t="shared" si="6"/>
        <v>0</v>
      </c>
      <c r="Y18" s="2" t="b">
        <f t="shared" si="7"/>
        <v>0</v>
      </c>
      <c r="Z18" s="2" t="b">
        <f t="shared" si="8"/>
        <v>0</v>
      </c>
      <c r="AA18" s="2" t="b">
        <f t="shared" si="9"/>
        <v>1</v>
      </c>
      <c r="AB18" s="2" t="b">
        <f t="shared" si="10"/>
        <v>1</v>
      </c>
      <c r="AC18" s="2" t="b">
        <f t="shared" si="11"/>
        <v>0</v>
      </c>
      <c r="AD18" s="2" t="b">
        <f t="shared" si="12"/>
        <v>1</v>
      </c>
      <c r="AE18" s="2" t="b">
        <f t="shared" si="13"/>
        <v>0</v>
      </c>
      <c r="AF18" t="s">
        <v>206</v>
      </c>
      <c r="AG18" t="b">
        <f t="shared" si="14"/>
        <v>0</v>
      </c>
    </row>
    <row r="19" spans="1:34" ht="25.5">
      <c r="A19" s="3" t="s">
        <v>494</v>
      </c>
      <c r="B19" s="3" t="s">
        <v>495</v>
      </c>
      <c r="C19" s="3" t="s">
        <v>153</v>
      </c>
      <c r="D19" s="3" t="s">
        <v>154</v>
      </c>
      <c r="E19" s="3" t="s">
        <v>154</v>
      </c>
      <c r="F19" s="3" t="s">
        <v>454</v>
      </c>
      <c r="G19" s="3" t="s">
        <v>204</v>
      </c>
      <c r="H19" s="3" t="s">
        <v>205</v>
      </c>
      <c r="I19" s="3" t="s">
        <v>406</v>
      </c>
      <c r="J19" s="3" t="s">
        <v>153</v>
      </c>
      <c r="K19" s="3" t="s">
        <v>454</v>
      </c>
      <c r="L19" s="3" t="s">
        <v>153</v>
      </c>
      <c r="M19" s="3" t="s">
        <v>153</v>
      </c>
      <c r="N19" s="3" t="s">
        <v>454</v>
      </c>
      <c r="O19" s="3" t="s">
        <v>454</v>
      </c>
      <c r="P19" s="3" t="s">
        <v>295</v>
      </c>
      <c r="Q19" s="3" t="str">
        <f t="shared" si="0"/>
        <v>DEPENDENT</v>
      </c>
      <c r="R19" s="3" t="str">
        <f t="shared" si="1"/>
        <v>PASS</v>
      </c>
      <c r="S19" s="3" t="s">
        <v>493</v>
      </c>
      <c r="T19" s="3" t="str">
        <f t="shared" si="2"/>
        <v>DEPENDENCY</v>
      </c>
      <c r="U19" s="3" t="str">
        <f t="shared" si="3"/>
        <v>PASS</v>
      </c>
      <c r="V19" s="2" t="b">
        <f t="shared" si="4"/>
        <v>1</v>
      </c>
      <c r="W19" s="2" t="b">
        <f t="shared" si="5"/>
        <v>1</v>
      </c>
      <c r="X19" s="2" t="b">
        <f t="shared" si="6"/>
        <v>0</v>
      </c>
      <c r="Y19" s="2" t="b">
        <f t="shared" si="7"/>
        <v>0</v>
      </c>
      <c r="Z19" s="2" t="b">
        <f t="shared" si="8"/>
        <v>0</v>
      </c>
      <c r="AA19" s="2" t="b">
        <f t="shared" si="9"/>
        <v>1</v>
      </c>
      <c r="AB19" s="2" t="b">
        <f t="shared" si="10"/>
        <v>1</v>
      </c>
      <c r="AC19" s="2" t="b">
        <f t="shared" si="11"/>
        <v>0</v>
      </c>
      <c r="AD19" s="2" t="b">
        <f t="shared" si="12"/>
        <v>1</v>
      </c>
      <c r="AE19" s="2" t="b">
        <f t="shared" si="13"/>
        <v>0</v>
      </c>
      <c r="AF19" t="s">
        <v>206</v>
      </c>
      <c r="AG19" t="b">
        <f t="shared" si="14"/>
        <v>0</v>
      </c>
    </row>
    <row r="20" spans="1:34" ht="25.5">
      <c r="A20" s="3" t="s">
        <v>496</v>
      </c>
      <c r="B20" s="3" t="s">
        <v>497</v>
      </c>
      <c r="C20" s="3" t="s">
        <v>153</v>
      </c>
      <c r="D20" s="3" t="s">
        <v>154</v>
      </c>
      <c r="E20" s="3" t="s">
        <v>154</v>
      </c>
      <c r="F20" s="3" t="s">
        <v>454</v>
      </c>
      <c r="G20" s="3" t="s">
        <v>204</v>
      </c>
      <c r="H20" s="3" t="s">
        <v>205</v>
      </c>
      <c r="I20" s="3" t="s">
        <v>411</v>
      </c>
      <c r="J20" s="3" t="s">
        <v>153</v>
      </c>
      <c r="K20" s="3" t="s">
        <v>454</v>
      </c>
      <c r="L20" s="3" t="s">
        <v>153</v>
      </c>
      <c r="M20" s="3" t="s">
        <v>153</v>
      </c>
      <c r="N20" s="3" t="s">
        <v>454</v>
      </c>
      <c r="O20" s="3" t="s">
        <v>454</v>
      </c>
      <c r="P20" s="3" t="s">
        <v>295</v>
      </c>
      <c r="Q20" s="3" t="str">
        <f t="shared" si="0"/>
        <v>DEPENDENT</v>
      </c>
      <c r="R20" s="3" t="str">
        <f t="shared" si="1"/>
        <v>PASS</v>
      </c>
      <c r="S20" s="3" t="s">
        <v>493</v>
      </c>
      <c r="T20" s="3" t="str">
        <f t="shared" si="2"/>
        <v>DEPENDENCY</v>
      </c>
      <c r="U20" s="3" t="str">
        <f t="shared" si="3"/>
        <v>PASS</v>
      </c>
      <c r="V20" s="2" t="b">
        <f t="shared" si="4"/>
        <v>1</v>
      </c>
      <c r="W20" s="2" t="b">
        <f t="shared" si="5"/>
        <v>1</v>
      </c>
      <c r="X20" s="2" t="b">
        <f t="shared" si="6"/>
        <v>0</v>
      </c>
      <c r="Y20" s="2" t="b">
        <f t="shared" si="7"/>
        <v>0</v>
      </c>
      <c r="Z20" s="2" t="b">
        <f t="shared" si="8"/>
        <v>0</v>
      </c>
      <c r="AA20" s="2" t="b">
        <f t="shared" si="9"/>
        <v>1</v>
      </c>
      <c r="AB20" s="2" t="b">
        <f t="shared" si="10"/>
        <v>1</v>
      </c>
      <c r="AC20" s="2" t="b">
        <f t="shared" si="11"/>
        <v>0</v>
      </c>
      <c r="AD20" s="2" t="b">
        <f t="shared" si="12"/>
        <v>1</v>
      </c>
      <c r="AE20" s="2" t="b">
        <f t="shared" si="13"/>
        <v>0</v>
      </c>
      <c r="AF20" t="s">
        <v>206</v>
      </c>
      <c r="AG20" t="b">
        <f t="shared" si="14"/>
        <v>0</v>
      </c>
    </row>
    <row r="21" spans="1:34">
      <c r="A21" s="3" t="s">
        <v>498</v>
      </c>
      <c r="B21" s="3" t="s">
        <v>499</v>
      </c>
      <c r="C21" s="3" t="s">
        <v>153</v>
      </c>
      <c r="D21" s="3" t="s">
        <v>154</v>
      </c>
      <c r="E21" s="3" t="s">
        <v>154</v>
      </c>
      <c r="F21" s="3" t="s">
        <v>454</v>
      </c>
      <c r="G21" s="3" t="s">
        <v>204</v>
      </c>
      <c r="H21" s="3" t="s">
        <v>205</v>
      </c>
      <c r="I21" s="3" t="s">
        <v>170</v>
      </c>
      <c r="J21" s="3" t="s">
        <v>454</v>
      </c>
      <c r="K21" s="3" t="s">
        <v>454</v>
      </c>
      <c r="L21" s="3" t="s">
        <v>153</v>
      </c>
      <c r="M21" s="3" t="s">
        <v>153</v>
      </c>
      <c r="N21" s="3" t="s">
        <v>454</v>
      </c>
      <c r="O21" s="3" t="s">
        <v>454</v>
      </c>
      <c r="P21" s="3" t="s">
        <v>467</v>
      </c>
      <c r="Q21" s="3" t="str">
        <f t="shared" si="0"/>
        <v>NOT_COMPARABLE</v>
      </c>
      <c r="R21" s="3" t="str">
        <f t="shared" si="1"/>
        <v>PASS</v>
      </c>
      <c r="S21" s="3" t="s">
        <v>500</v>
      </c>
      <c r="T21" s="3" t="str">
        <f t="shared" si="2"/>
        <v>INCOMPATIBLE_CONTEXT</v>
      </c>
      <c r="U21" s="3" t="str">
        <f t="shared" si="3"/>
        <v>PASS</v>
      </c>
      <c r="V21" s="2" t="b">
        <f t="shared" si="4"/>
        <v>1</v>
      </c>
      <c r="W21" s="2" t="b">
        <f t="shared" si="5"/>
        <v>1</v>
      </c>
      <c r="X21" s="2" t="b">
        <f t="shared" si="6"/>
        <v>0</v>
      </c>
      <c r="Y21" s="2" t="b">
        <f t="shared" si="7"/>
        <v>0</v>
      </c>
      <c r="Z21" s="2" t="b">
        <f t="shared" si="8"/>
        <v>0</v>
      </c>
      <c r="AA21" s="2" t="b">
        <f t="shared" si="9"/>
        <v>0</v>
      </c>
      <c r="AB21" s="2" t="b">
        <f t="shared" si="10"/>
        <v>0</v>
      </c>
      <c r="AC21" s="2" t="b">
        <f t="shared" si="11"/>
        <v>0</v>
      </c>
      <c r="AD21" s="2" t="b">
        <f t="shared" si="12"/>
        <v>1</v>
      </c>
      <c r="AE21" s="2" t="b">
        <f t="shared" si="13"/>
        <v>0</v>
      </c>
      <c r="AF21" t="s">
        <v>206</v>
      </c>
      <c r="AG21" t="b">
        <f t="shared" si="14"/>
        <v>0</v>
      </c>
    </row>
    <row r="22" spans="1:34">
      <c r="A22" s="3" t="s">
        <v>501</v>
      </c>
      <c r="B22" s="3" t="s">
        <v>502</v>
      </c>
      <c r="C22" s="3" t="s">
        <v>153</v>
      </c>
      <c r="D22" s="3" t="s">
        <v>154</v>
      </c>
      <c r="E22" s="3" t="s">
        <v>154</v>
      </c>
      <c r="F22" s="3" t="s">
        <v>454</v>
      </c>
      <c r="G22" s="3" t="s">
        <v>204</v>
      </c>
      <c r="H22" s="3" t="s">
        <v>205</v>
      </c>
      <c r="I22" s="3" t="s">
        <v>170</v>
      </c>
      <c r="J22" s="3" t="s">
        <v>153</v>
      </c>
      <c r="K22" s="3" t="s">
        <v>153</v>
      </c>
      <c r="L22" s="3" t="s">
        <v>153</v>
      </c>
      <c r="M22" s="3" t="s">
        <v>153</v>
      </c>
      <c r="N22" s="3" t="s">
        <v>454</v>
      </c>
      <c r="O22" s="3" t="s">
        <v>454</v>
      </c>
      <c r="P22" s="3" t="s">
        <v>307</v>
      </c>
      <c r="Q22" s="3" t="str">
        <f t="shared" si="0"/>
        <v>UNRESOLVED</v>
      </c>
      <c r="R22" s="3" t="str">
        <f t="shared" si="1"/>
        <v>PASS</v>
      </c>
      <c r="S22" s="3" t="s">
        <v>503</v>
      </c>
      <c r="T22" s="3" t="str">
        <f t="shared" si="2"/>
        <v>EVIDENCE_BLOCK</v>
      </c>
      <c r="U22" s="3" t="str">
        <f t="shared" si="3"/>
        <v>PASS</v>
      </c>
      <c r="V22" s="2" t="b">
        <f t="shared" si="4"/>
        <v>1</v>
      </c>
      <c r="W22" s="2" t="b">
        <f t="shared" si="5"/>
        <v>1</v>
      </c>
      <c r="X22" s="2" t="b">
        <f t="shared" si="6"/>
        <v>0</v>
      </c>
      <c r="Y22" s="2" t="b">
        <f t="shared" si="7"/>
        <v>0</v>
      </c>
      <c r="Z22" s="2" t="b">
        <f t="shared" si="8"/>
        <v>0</v>
      </c>
      <c r="AA22" s="2" t="b">
        <f t="shared" si="9"/>
        <v>0</v>
      </c>
      <c r="AB22" s="2" t="b">
        <f t="shared" si="10"/>
        <v>1</v>
      </c>
      <c r="AC22" s="2" t="b">
        <f t="shared" si="11"/>
        <v>1</v>
      </c>
      <c r="AD22" s="2" t="b">
        <f t="shared" si="12"/>
        <v>1</v>
      </c>
      <c r="AE22" s="2" t="b">
        <f t="shared" si="13"/>
        <v>0</v>
      </c>
      <c r="AF22" t="s">
        <v>206</v>
      </c>
      <c r="AG22" t="b">
        <f t="shared" si="14"/>
        <v>0</v>
      </c>
    </row>
    <row r="23" spans="1:34">
      <c r="A23" s="3" t="s">
        <v>504</v>
      </c>
      <c r="B23" s="3" t="s">
        <v>505</v>
      </c>
      <c r="C23" s="3" t="s">
        <v>153</v>
      </c>
      <c r="D23" s="3" t="s">
        <v>154</v>
      </c>
      <c r="E23" s="3" t="s">
        <v>154</v>
      </c>
      <c r="F23" s="3" t="s">
        <v>454</v>
      </c>
      <c r="G23" s="3" t="s">
        <v>204</v>
      </c>
      <c r="H23" s="3" t="s">
        <v>205</v>
      </c>
      <c r="I23" s="3" t="s">
        <v>170</v>
      </c>
      <c r="J23" s="3" t="s">
        <v>153</v>
      </c>
      <c r="K23" s="3" t="s">
        <v>454</v>
      </c>
      <c r="L23" s="3" t="s">
        <v>153</v>
      </c>
      <c r="M23" s="3" t="s">
        <v>454</v>
      </c>
      <c r="N23" s="3" t="s">
        <v>153</v>
      </c>
      <c r="O23" s="3" t="s">
        <v>454</v>
      </c>
      <c r="P23" s="3" t="s">
        <v>463</v>
      </c>
      <c r="Q23" s="3" t="str">
        <f t="shared" si="0"/>
        <v>TRADE_OFFS_REMAIN</v>
      </c>
      <c r="R23" s="3" t="str">
        <f t="shared" si="1"/>
        <v>PASS</v>
      </c>
      <c r="S23" s="3" t="s">
        <v>464</v>
      </c>
      <c r="T23" s="3" t="str">
        <f t="shared" si="2"/>
        <v>TRADE_OFFS</v>
      </c>
      <c r="U23" s="3" t="str">
        <f t="shared" si="3"/>
        <v>PASS</v>
      </c>
      <c r="V23" s="2" t="b">
        <f t="shared" si="4"/>
        <v>1</v>
      </c>
      <c r="W23" s="2" t="b">
        <f t="shared" si="5"/>
        <v>1</v>
      </c>
      <c r="X23" s="2" t="b">
        <f t="shared" si="6"/>
        <v>0</v>
      </c>
      <c r="Y23" s="2" t="b">
        <f t="shared" si="7"/>
        <v>0</v>
      </c>
      <c r="Z23" s="2" t="b">
        <f t="shared" si="8"/>
        <v>0</v>
      </c>
      <c r="AA23" s="2" t="b">
        <f t="shared" si="9"/>
        <v>0</v>
      </c>
      <c r="AB23" s="2" t="b">
        <f t="shared" si="10"/>
        <v>1</v>
      </c>
      <c r="AC23" s="2" t="b">
        <f t="shared" si="11"/>
        <v>0</v>
      </c>
      <c r="AD23" s="2" t="b">
        <f t="shared" si="12"/>
        <v>0</v>
      </c>
      <c r="AE23" s="2" t="b">
        <f t="shared" si="13"/>
        <v>0</v>
      </c>
      <c r="AF23" t="s">
        <v>206</v>
      </c>
      <c r="AG23" t="b">
        <f t="shared" si="14"/>
        <v>0</v>
      </c>
    </row>
    <row r="24" spans="1:34">
      <c r="A24" s="3" t="s">
        <v>506</v>
      </c>
      <c r="B24" s="3" t="s">
        <v>507</v>
      </c>
      <c r="C24" s="3" t="s">
        <v>153</v>
      </c>
      <c r="D24" s="3" t="s">
        <v>154</v>
      </c>
      <c r="E24" s="3" t="s">
        <v>154</v>
      </c>
      <c r="F24" s="3" t="s">
        <v>454</v>
      </c>
      <c r="G24" s="3" t="s">
        <v>204</v>
      </c>
      <c r="H24" s="3" t="s">
        <v>205</v>
      </c>
      <c r="I24" s="3" t="s">
        <v>170</v>
      </c>
      <c r="J24" s="3" t="s">
        <v>153</v>
      </c>
      <c r="K24" s="3" t="s">
        <v>454</v>
      </c>
      <c r="L24" s="3" t="s">
        <v>454</v>
      </c>
      <c r="M24" s="3" t="s">
        <v>153</v>
      </c>
      <c r="N24" s="3" t="s">
        <v>454</v>
      </c>
      <c r="O24" s="3" t="s">
        <v>454</v>
      </c>
      <c r="P24" s="3" t="s">
        <v>463</v>
      </c>
      <c r="Q24" s="3" t="str">
        <f t="shared" si="0"/>
        <v>TRADE_OFFS_REMAIN</v>
      </c>
      <c r="R24" s="3" t="str">
        <f t="shared" si="1"/>
        <v>PASS</v>
      </c>
      <c r="S24" s="3" t="s">
        <v>464</v>
      </c>
      <c r="T24" s="3" t="str">
        <f t="shared" si="2"/>
        <v>TRADE_OFFS</v>
      </c>
      <c r="U24" s="3" t="str">
        <f t="shared" si="3"/>
        <v>PASS</v>
      </c>
      <c r="V24" s="2" t="b">
        <f t="shared" si="4"/>
        <v>1</v>
      </c>
      <c r="W24" s="2" t="b">
        <f t="shared" si="5"/>
        <v>1</v>
      </c>
      <c r="X24" s="2" t="b">
        <f t="shared" si="6"/>
        <v>0</v>
      </c>
      <c r="Y24" s="2" t="b">
        <f t="shared" si="7"/>
        <v>0</v>
      </c>
      <c r="Z24" s="2" t="b">
        <f t="shared" si="8"/>
        <v>0</v>
      </c>
      <c r="AA24" s="2" t="b">
        <f t="shared" si="9"/>
        <v>0</v>
      </c>
      <c r="AB24" s="2" t="b">
        <f t="shared" si="10"/>
        <v>1</v>
      </c>
      <c r="AC24" s="2" t="b">
        <f t="shared" si="11"/>
        <v>0</v>
      </c>
      <c r="AD24" s="2" t="b">
        <f t="shared" si="12"/>
        <v>0</v>
      </c>
      <c r="AE24" s="2" t="b">
        <f t="shared" si="13"/>
        <v>0</v>
      </c>
      <c r="AF24" t="s">
        <v>206</v>
      </c>
      <c r="AG24" t="b">
        <f t="shared" si="14"/>
        <v>0</v>
      </c>
    </row>
    <row r="25" spans="1:34">
      <c r="A25" s="3" t="s">
        <v>508</v>
      </c>
      <c r="B25" s="3" t="s">
        <v>509</v>
      </c>
      <c r="C25" s="3" t="s">
        <v>153</v>
      </c>
      <c r="D25" s="3" t="s">
        <v>510</v>
      </c>
      <c r="E25" s="3" t="s">
        <v>154</v>
      </c>
      <c r="F25" s="3" t="s">
        <v>454</v>
      </c>
      <c r="G25" s="3" t="s">
        <v>204</v>
      </c>
      <c r="H25" s="3" t="s">
        <v>205</v>
      </c>
      <c r="I25" s="3" t="s">
        <v>170</v>
      </c>
      <c r="J25" s="3" t="s">
        <v>153</v>
      </c>
      <c r="K25" s="3" t="s">
        <v>454</v>
      </c>
      <c r="L25" s="3" t="s">
        <v>153</v>
      </c>
      <c r="M25" s="3" t="s">
        <v>153</v>
      </c>
      <c r="N25" s="3" t="s">
        <v>454</v>
      </c>
      <c r="O25" s="3" t="s">
        <v>454</v>
      </c>
      <c r="P25" s="3" t="s">
        <v>467</v>
      </c>
      <c r="Q25" s="3" t="str">
        <f t="shared" si="0"/>
        <v>NOT_COMPARABLE</v>
      </c>
      <c r="R25" s="3" t="str">
        <f t="shared" si="1"/>
        <v>PASS</v>
      </c>
      <c r="S25" s="3" t="s">
        <v>468</v>
      </c>
      <c r="T25" s="3" t="str">
        <f t="shared" si="2"/>
        <v>INVALID_BOUNDARY</v>
      </c>
      <c r="U25" s="3" t="str">
        <f t="shared" si="3"/>
        <v>PASS</v>
      </c>
      <c r="V25" s="2" t="b">
        <f t="shared" si="4"/>
        <v>0</v>
      </c>
      <c r="W25" s="2" t="b">
        <f t="shared" si="5"/>
        <v>1</v>
      </c>
      <c r="X25" s="2" t="b">
        <f t="shared" si="6"/>
        <v>0</v>
      </c>
      <c r="Y25" s="2" t="b">
        <f t="shared" si="7"/>
        <v>0</v>
      </c>
      <c r="Z25" s="2" t="b">
        <f t="shared" si="8"/>
        <v>0</v>
      </c>
      <c r="AA25" s="2" t="b">
        <f t="shared" si="9"/>
        <v>0</v>
      </c>
      <c r="AB25" s="2" t="b">
        <f t="shared" si="10"/>
        <v>1</v>
      </c>
      <c r="AC25" s="2" t="b">
        <f t="shared" si="11"/>
        <v>0</v>
      </c>
      <c r="AD25" s="2" t="b">
        <f t="shared" si="12"/>
        <v>1</v>
      </c>
      <c r="AE25" s="2" t="b">
        <f t="shared" si="13"/>
        <v>0</v>
      </c>
      <c r="AF25" t="s">
        <v>206</v>
      </c>
      <c r="AG25" t="b">
        <f t="shared" si="14"/>
        <v>0</v>
      </c>
    </row>
    <row r="26" spans="1:34">
      <c r="A26" s="3" t="s">
        <v>511</v>
      </c>
      <c r="B26" s="3" t="s">
        <v>512</v>
      </c>
      <c r="C26" s="3" t="s">
        <v>153</v>
      </c>
      <c r="D26" s="3" t="s">
        <v>513</v>
      </c>
      <c r="E26" s="3" t="s">
        <v>154</v>
      </c>
      <c r="F26" s="3" t="s">
        <v>454</v>
      </c>
      <c r="G26" s="3" t="s">
        <v>204</v>
      </c>
      <c r="H26" s="3" t="s">
        <v>205</v>
      </c>
      <c r="I26" s="3" t="s">
        <v>170</v>
      </c>
      <c r="J26" s="3" t="s">
        <v>153</v>
      </c>
      <c r="K26" s="3" t="s">
        <v>454</v>
      </c>
      <c r="L26" s="3" t="s">
        <v>153</v>
      </c>
      <c r="M26" s="3" t="s">
        <v>153</v>
      </c>
      <c r="N26" s="3" t="s">
        <v>454</v>
      </c>
      <c r="O26" s="3" t="s">
        <v>454</v>
      </c>
      <c r="P26" s="3" t="s">
        <v>455</v>
      </c>
      <c r="Q26" s="3" t="str">
        <f t="shared" si="0"/>
        <v>A_DOMINATES_B</v>
      </c>
      <c r="R26" s="3" t="str">
        <f t="shared" si="1"/>
        <v>PASS</v>
      </c>
      <c r="S26" s="3" t="s">
        <v>456</v>
      </c>
      <c r="T26" s="3" t="str">
        <f t="shared" si="2"/>
        <v>A_DOMINANCE</v>
      </c>
      <c r="U26" s="3" t="str">
        <f t="shared" si="3"/>
        <v>PASS</v>
      </c>
      <c r="V26" s="2" t="b">
        <f t="shared" si="4"/>
        <v>1</v>
      </c>
      <c r="W26" s="2" t="b">
        <f t="shared" si="5"/>
        <v>1</v>
      </c>
      <c r="X26" s="2" t="b">
        <f t="shared" si="6"/>
        <v>0</v>
      </c>
      <c r="Y26" s="2" t="b">
        <f t="shared" si="7"/>
        <v>0</v>
      </c>
      <c r="Z26" s="2" t="b">
        <f t="shared" si="8"/>
        <v>0</v>
      </c>
      <c r="AA26" s="2" t="b">
        <f t="shared" si="9"/>
        <v>0</v>
      </c>
      <c r="AB26" s="2" t="b">
        <f t="shared" si="10"/>
        <v>1</v>
      </c>
      <c r="AC26" s="2" t="b">
        <f t="shared" si="11"/>
        <v>0</v>
      </c>
      <c r="AD26" s="2" t="b">
        <f t="shared" si="12"/>
        <v>1</v>
      </c>
      <c r="AE26" s="2" t="b">
        <f t="shared" si="13"/>
        <v>0</v>
      </c>
      <c r="AF26" t="s">
        <v>206</v>
      </c>
      <c r="AG26" t="b">
        <f t="shared" si="14"/>
        <v>0</v>
      </c>
    </row>
    <row r="27" spans="1:34">
      <c r="A27" s="3" t="s">
        <v>514</v>
      </c>
      <c r="B27" s="3" t="s">
        <v>515</v>
      </c>
      <c r="C27" s="3" t="s">
        <v>153</v>
      </c>
      <c r="D27" s="3" t="s">
        <v>154</v>
      </c>
      <c r="E27" s="3" t="s">
        <v>154</v>
      </c>
      <c r="F27" s="3" t="s">
        <v>454</v>
      </c>
      <c r="G27" s="3" t="s">
        <v>414</v>
      </c>
      <c r="H27" s="3" t="s">
        <v>205</v>
      </c>
      <c r="I27" s="3" t="s">
        <v>170</v>
      </c>
      <c r="J27" s="3" t="s">
        <v>153</v>
      </c>
      <c r="K27" s="3" t="s">
        <v>454</v>
      </c>
      <c r="L27" s="3" t="s">
        <v>153</v>
      </c>
      <c r="M27" s="3" t="s">
        <v>153</v>
      </c>
      <c r="N27" s="3" t="s">
        <v>454</v>
      </c>
      <c r="O27" s="3" t="s">
        <v>454</v>
      </c>
      <c r="P27" s="3" t="s">
        <v>481</v>
      </c>
      <c r="Q27" s="3" t="str">
        <f t="shared" si="0"/>
        <v>OVERLAPPING</v>
      </c>
      <c r="R27" s="3" t="str">
        <f t="shared" si="1"/>
        <v>PASS</v>
      </c>
      <c r="S27" s="3" t="s">
        <v>482</v>
      </c>
      <c r="T27" s="3" t="str">
        <f t="shared" si="2"/>
        <v>OVERLAP_NESTING</v>
      </c>
      <c r="U27" s="3" t="str">
        <f t="shared" si="3"/>
        <v>PASS</v>
      </c>
      <c r="V27" s="2" t="b">
        <f t="shared" si="4"/>
        <v>1</v>
      </c>
      <c r="W27" s="2" t="b">
        <f t="shared" si="5"/>
        <v>1</v>
      </c>
      <c r="X27" s="2" t="b">
        <f t="shared" si="6"/>
        <v>0</v>
      </c>
      <c r="Y27" s="2" t="b">
        <f t="shared" si="7"/>
        <v>0</v>
      </c>
      <c r="Z27" s="2" t="b">
        <f t="shared" si="8"/>
        <v>1</v>
      </c>
      <c r="AA27" s="2" t="b">
        <f t="shared" si="9"/>
        <v>0</v>
      </c>
      <c r="AB27" s="2" t="b">
        <f t="shared" si="10"/>
        <v>1</v>
      </c>
      <c r="AC27" s="2" t="b">
        <f t="shared" si="11"/>
        <v>0</v>
      </c>
      <c r="AD27" s="2" t="b">
        <f t="shared" si="12"/>
        <v>1</v>
      </c>
      <c r="AE27" s="2" t="b">
        <f t="shared" si="13"/>
        <v>0</v>
      </c>
      <c r="AF27" t="s">
        <v>206</v>
      </c>
      <c r="AG27" t="b">
        <f t="shared" si="14"/>
        <v>0</v>
      </c>
    </row>
    <row r="28" spans="1:34">
      <c r="A28" s="3" t="s">
        <v>516</v>
      </c>
      <c r="B28" s="3" t="s">
        <v>517</v>
      </c>
      <c r="C28" s="3" t="s">
        <v>153</v>
      </c>
      <c r="D28" s="3" t="s">
        <v>154</v>
      </c>
      <c r="E28" s="3" t="s">
        <v>154</v>
      </c>
      <c r="F28" s="3" t="s">
        <v>454</v>
      </c>
      <c r="G28" s="3" t="s">
        <v>204</v>
      </c>
      <c r="H28" s="3" t="s">
        <v>205</v>
      </c>
      <c r="I28" s="3" t="s">
        <v>399</v>
      </c>
      <c r="J28" s="3" t="s">
        <v>153</v>
      </c>
      <c r="K28" s="3" t="s">
        <v>454</v>
      </c>
      <c r="L28" s="3" t="s">
        <v>454</v>
      </c>
      <c r="M28" s="3" t="s">
        <v>153</v>
      </c>
      <c r="N28" s="3" t="s">
        <v>153</v>
      </c>
      <c r="O28" s="3" t="s">
        <v>153</v>
      </c>
      <c r="P28" s="3" t="s">
        <v>295</v>
      </c>
      <c r="Q28" s="3" t="str">
        <f t="shared" si="0"/>
        <v>DEPENDENT</v>
      </c>
      <c r="R28" s="3" t="str">
        <f t="shared" si="1"/>
        <v>PASS</v>
      </c>
      <c r="S28" s="3" t="s">
        <v>493</v>
      </c>
      <c r="T28" s="3" t="str">
        <f t="shared" si="2"/>
        <v>DEPENDENCY</v>
      </c>
      <c r="U28" s="3" t="str">
        <f t="shared" si="3"/>
        <v>PASS</v>
      </c>
      <c r="V28" s="2" t="b">
        <f t="shared" si="4"/>
        <v>1</v>
      </c>
      <c r="W28" s="2" t="b">
        <f t="shared" si="5"/>
        <v>1</v>
      </c>
      <c r="X28" s="2" t="b">
        <f t="shared" si="6"/>
        <v>0</v>
      </c>
      <c r="Y28" s="2" t="b">
        <f t="shared" si="7"/>
        <v>0</v>
      </c>
      <c r="Z28" s="2" t="b">
        <f t="shared" si="8"/>
        <v>0</v>
      </c>
      <c r="AA28" s="2" t="b">
        <f t="shared" si="9"/>
        <v>1</v>
      </c>
      <c r="AB28" s="2" t="b">
        <f t="shared" si="10"/>
        <v>1</v>
      </c>
      <c r="AC28" s="2" t="b">
        <f t="shared" si="11"/>
        <v>0</v>
      </c>
      <c r="AD28" s="2" t="b">
        <f t="shared" si="12"/>
        <v>0</v>
      </c>
      <c r="AE28" s="2" t="b">
        <f t="shared" si="13"/>
        <v>1</v>
      </c>
      <c r="AF28" t="s">
        <v>206</v>
      </c>
      <c r="AG28" t="b">
        <f t="shared" si="14"/>
        <v>0</v>
      </c>
    </row>
    <row r="29" spans="1:34">
      <c r="A29" s="3" t="s">
        <v>518</v>
      </c>
      <c r="B29" s="3" t="s">
        <v>519</v>
      </c>
      <c r="C29" s="3" t="s">
        <v>153</v>
      </c>
      <c r="D29" s="3" t="s">
        <v>154</v>
      </c>
      <c r="E29" s="3" t="s">
        <v>154</v>
      </c>
      <c r="F29" s="3" t="s">
        <v>454</v>
      </c>
      <c r="G29" s="3" t="s">
        <v>204</v>
      </c>
      <c r="H29" s="3" t="s">
        <v>205</v>
      </c>
      <c r="I29" s="3" t="s">
        <v>170</v>
      </c>
      <c r="J29" s="3" t="s">
        <v>153</v>
      </c>
      <c r="K29" s="3" t="s">
        <v>153</v>
      </c>
      <c r="L29" s="3" t="s">
        <v>454</v>
      </c>
      <c r="M29" s="3" t="s">
        <v>153</v>
      </c>
      <c r="N29" s="3" t="s">
        <v>454</v>
      </c>
      <c r="O29" s="3" t="s">
        <v>153</v>
      </c>
      <c r="P29" s="3" t="s">
        <v>307</v>
      </c>
      <c r="Q29" s="3" t="str">
        <f t="shared" si="0"/>
        <v>UNRESOLVED</v>
      </c>
      <c r="R29" s="3" t="str">
        <f t="shared" si="1"/>
        <v>PASS</v>
      </c>
      <c r="S29" s="3" t="s">
        <v>503</v>
      </c>
      <c r="T29" s="3" t="str">
        <f t="shared" si="2"/>
        <v>EVIDENCE_BLOCK</v>
      </c>
      <c r="U29" s="3" t="str">
        <f t="shared" si="3"/>
        <v>PASS</v>
      </c>
      <c r="V29" s="2" t="b">
        <f t="shared" si="4"/>
        <v>1</v>
      </c>
      <c r="W29" s="2" t="b">
        <f t="shared" si="5"/>
        <v>1</v>
      </c>
      <c r="X29" s="2" t="b">
        <f t="shared" si="6"/>
        <v>0</v>
      </c>
      <c r="Y29" s="2" t="b">
        <f t="shared" si="7"/>
        <v>0</v>
      </c>
      <c r="Z29" s="2" t="b">
        <f t="shared" si="8"/>
        <v>0</v>
      </c>
      <c r="AA29" s="2" t="b">
        <f t="shared" si="9"/>
        <v>0</v>
      </c>
      <c r="AB29" s="2" t="b">
        <f t="shared" si="10"/>
        <v>1</v>
      </c>
      <c r="AC29" s="2" t="b">
        <f t="shared" si="11"/>
        <v>1</v>
      </c>
      <c r="AD29" s="2" t="b">
        <f t="shared" si="12"/>
        <v>0</v>
      </c>
      <c r="AE29" s="2" t="b">
        <f t="shared" si="13"/>
        <v>0</v>
      </c>
      <c r="AF29" t="s">
        <v>206</v>
      </c>
      <c r="AG29" t="b">
        <f t="shared" si="14"/>
        <v>0</v>
      </c>
    </row>
    <row r="30" spans="1:34">
      <c r="A30" s="3" t="s">
        <v>520</v>
      </c>
      <c r="B30" s="3" t="s">
        <v>521</v>
      </c>
      <c r="C30" s="3" t="s">
        <v>153</v>
      </c>
      <c r="D30" s="3" t="s">
        <v>154</v>
      </c>
      <c r="E30" s="3" t="s">
        <v>154</v>
      </c>
      <c r="F30" s="3" t="s">
        <v>454</v>
      </c>
      <c r="G30" s="3" t="s">
        <v>204</v>
      </c>
      <c r="H30" s="3" t="s">
        <v>205</v>
      </c>
      <c r="I30" s="3" t="s">
        <v>170</v>
      </c>
      <c r="J30" s="3" t="s">
        <v>454</v>
      </c>
      <c r="K30" s="3" t="s">
        <v>454</v>
      </c>
      <c r="L30" s="3" t="s">
        <v>454</v>
      </c>
      <c r="M30" s="3" t="s">
        <v>153</v>
      </c>
      <c r="N30" s="3" t="s">
        <v>153</v>
      </c>
      <c r="O30" s="3" t="s">
        <v>153</v>
      </c>
      <c r="P30" s="3" t="s">
        <v>467</v>
      </c>
      <c r="Q30" s="3" t="str">
        <f t="shared" si="0"/>
        <v>NOT_COMPARABLE</v>
      </c>
      <c r="R30" s="3" t="str">
        <f t="shared" si="1"/>
        <v>PASS</v>
      </c>
      <c r="S30" s="3" t="s">
        <v>500</v>
      </c>
      <c r="T30" s="3" t="str">
        <f t="shared" si="2"/>
        <v>INCOMPATIBLE_CONTEXT</v>
      </c>
      <c r="U30" s="3" t="str">
        <f t="shared" si="3"/>
        <v>PASS</v>
      </c>
      <c r="V30" s="2" t="b">
        <f t="shared" si="4"/>
        <v>1</v>
      </c>
      <c r="W30" s="2" t="b">
        <f t="shared" si="5"/>
        <v>1</v>
      </c>
      <c r="X30" s="2" t="b">
        <f t="shared" si="6"/>
        <v>0</v>
      </c>
      <c r="Y30" s="2" t="b">
        <f t="shared" si="7"/>
        <v>0</v>
      </c>
      <c r="Z30" s="2" t="b">
        <f t="shared" si="8"/>
        <v>0</v>
      </c>
      <c r="AA30" s="2" t="b">
        <f t="shared" si="9"/>
        <v>0</v>
      </c>
      <c r="AB30" s="2" t="b">
        <f t="shared" si="10"/>
        <v>0</v>
      </c>
      <c r="AC30" s="2" t="b">
        <f t="shared" si="11"/>
        <v>0</v>
      </c>
      <c r="AD30" s="2" t="b">
        <f t="shared" si="12"/>
        <v>0</v>
      </c>
      <c r="AE30" s="2" t="b">
        <f t="shared" si="13"/>
        <v>1</v>
      </c>
      <c r="AF30" t="s">
        <v>206</v>
      </c>
      <c r="AG30" t="b">
        <f t="shared" si="14"/>
        <v>0</v>
      </c>
    </row>
    <row r="31" spans="1:34" ht="21" customHeight="1">
      <c r="A31" s="3" t="s">
        <v>522</v>
      </c>
      <c r="B31" s="3" t="s">
        <v>523</v>
      </c>
      <c r="C31" s="3" t="s">
        <v>153</v>
      </c>
      <c r="D31" s="3" t="s">
        <v>154</v>
      </c>
      <c r="E31" s="3" t="s">
        <v>154</v>
      </c>
      <c r="F31" s="3" t="s">
        <v>454</v>
      </c>
      <c r="G31" s="3" t="s">
        <v>204</v>
      </c>
      <c r="H31" s="3" t="s">
        <v>205</v>
      </c>
      <c r="I31" s="3" t="s">
        <v>170</v>
      </c>
      <c r="J31" s="3" t="s">
        <v>153</v>
      </c>
      <c r="K31" s="3" t="s">
        <v>454</v>
      </c>
      <c r="L31" s="3" t="s">
        <v>454</v>
      </c>
      <c r="M31" s="3" t="s">
        <v>153</v>
      </c>
      <c r="N31" s="3" t="s">
        <v>454</v>
      </c>
      <c r="O31" s="3" t="s">
        <v>153</v>
      </c>
      <c r="P31" s="3" t="s">
        <v>463</v>
      </c>
      <c r="Q31" s="3" t="str">
        <f t="shared" si="0"/>
        <v>TRADE_OFFS_REMAIN</v>
      </c>
      <c r="R31" s="3" t="str">
        <f t="shared" si="1"/>
        <v>PASS</v>
      </c>
      <c r="S31" s="3" t="s">
        <v>464</v>
      </c>
      <c r="T31" s="3" t="str">
        <f t="shared" si="2"/>
        <v>TRADE_OFFS</v>
      </c>
      <c r="U31" s="3" t="str">
        <f t="shared" si="3"/>
        <v>PASS</v>
      </c>
      <c r="V31" s="12" t="b">
        <f t="shared" si="4"/>
        <v>1</v>
      </c>
      <c r="W31" s="12" t="b">
        <f t="shared" si="5"/>
        <v>1</v>
      </c>
      <c r="X31" s="12" t="b">
        <f t="shared" si="6"/>
        <v>0</v>
      </c>
      <c r="Y31" s="12" t="b">
        <f t="shared" si="7"/>
        <v>0</v>
      </c>
      <c r="Z31" s="12" t="b">
        <f t="shared" si="8"/>
        <v>0</v>
      </c>
      <c r="AA31" s="12" t="b">
        <f t="shared" si="9"/>
        <v>0</v>
      </c>
      <c r="AB31" s="12" t="b">
        <f t="shared" si="10"/>
        <v>1</v>
      </c>
      <c r="AC31" s="12" t="b">
        <f t="shared" si="11"/>
        <v>0</v>
      </c>
      <c r="AD31" s="12" t="b">
        <f t="shared" si="12"/>
        <v>0</v>
      </c>
      <c r="AE31" s="12" t="b">
        <f t="shared" si="13"/>
        <v>0</v>
      </c>
      <c r="AF31" s="12" t="s">
        <v>387</v>
      </c>
      <c r="AG31" s="12" t="b">
        <f t="shared" si="14"/>
        <v>0</v>
      </c>
      <c r="AH31" s="12"/>
    </row>
    <row r="32" spans="1:34" ht="21" customHeight="1">
      <c r="A32" s="3" t="s">
        <v>524</v>
      </c>
      <c r="B32" s="3" t="s">
        <v>525</v>
      </c>
      <c r="C32" s="3" t="s">
        <v>153</v>
      </c>
      <c r="D32" s="3" t="s">
        <v>154</v>
      </c>
      <c r="E32" s="3" t="s">
        <v>154</v>
      </c>
      <c r="F32" s="3" t="s">
        <v>454</v>
      </c>
      <c r="G32" s="3" t="s">
        <v>204</v>
      </c>
      <c r="H32" s="3" t="s">
        <v>205</v>
      </c>
      <c r="I32" s="3" t="s">
        <v>170</v>
      </c>
      <c r="J32" s="3" t="s">
        <v>153</v>
      </c>
      <c r="K32" s="3" t="s">
        <v>454</v>
      </c>
      <c r="L32" s="3" t="s">
        <v>454</v>
      </c>
      <c r="M32" s="3" t="s">
        <v>153</v>
      </c>
      <c r="N32" s="3" t="s">
        <v>454</v>
      </c>
      <c r="O32" s="3" t="s">
        <v>153</v>
      </c>
      <c r="P32" s="3" t="s">
        <v>463</v>
      </c>
      <c r="Q32" s="3" t="str">
        <f t="shared" si="0"/>
        <v>TRADE_OFFS_REMAIN</v>
      </c>
      <c r="R32" s="3" t="str">
        <f t="shared" si="1"/>
        <v>PASS</v>
      </c>
      <c r="S32" s="3" t="s">
        <v>464</v>
      </c>
      <c r="T32" s="3" t="str">
        <f t="shared" si="2"/>
        <v>TRADE_OFFS</v>
      </c>
      <c r="U32" s="3" t="str">
        <f t="shared" si="3"/>
        <v>PASS</v>
      </c>
      <c r="V32" s="12" t="b">
        <f t="shared" si="4"/>
        <v>1</v>
      </c>
      <c r="W32" s="12" t="b">
        <f t="shared" si="5"/>
        <v>1</v>
      </c>
      <c r="X32" s="12" t="b">
        <f t="shared" si="6"/>
        <v>0</v>
      </c>
      <c r="Y32" s="12" t="b">
        <f t="shared" si="7"/>
        <v>0</v>
      </c>
      <c r="Z32" s="12" t="b">
        <f t="shared" si="8"/>
        <v>0</v>
      </c>
      <c r="AA32" s="12" t="b">
        <f t="shared" si="9"/>
        <v>0</v>
      </c>
      <c r="AB32" s="12" t="b">
        <f t="shared" si="10"/>
        <v>1</v>
      </c>
      <c r="AC32" s="12" t="b">
        <f t="shared" si="11"/>
        <v>0</v>
      </c>
      <c r="AD32" s="12" t="b">
        <f t="shared" si="12"/>
        <v>0</v>
      </c>
      <c r="AE32" s="12" t="b">
        <f t="shared" si="13"/>
        <v>0</v>
      </c>
      <c r="AF32" s="12" t="s">
        <v>211</v>
      </c>
      <c r="AG32" s="12" t="b">
        <f t="shared" si="14"/>
        <v>0</v>
      </c>
      <c r="AH32" s="12"/>
    </row>
    <row r="33" spans="1:34" ht="21" customHeight="1">
      <c r="A33" s="3" t="s">
        <v>526</v>
      </c>
      <c r="B33" s="3" t="s">
        <v>527</v>
      </c>
      <c r="C33" s="3" t="s">
        <v>153</v>
      </c>
      <c r="D33" s="3" t="s">
        <v>154</v>
      </c>
      <c r="E33" s="3" t="s">
        <v>154</v>
      </c>
      <c r="F33" s="3" t="s">
        <v>454</v>
      </c>
      <c r="G33" s="3" t="s">
        <v>204</v>
      </c>
      <c r="H33" s="3" t="s">
        <v>205</v>
      </c>
      <c r="I33" s="3" t="s">
        <v>170</v>
      </c>
      <c r="J33" s="3" t="s">
        <v>153</v>
      </c>
      <c r="K33" s="3" t="s">
        <v>454</v>
      </c>
      <c r="L33" s="3" t="s">
        <v>454</v>
      </c>
      <c r="M33" s="3" t="s">
        <v>153</v>
      </c>
      <c r="N33" s="3" t="s">
        <v>454</v>
      </c>
      <c r="O33" s="3" t="s">
        <v>153</v>
      </c>
      <c r="P33" s="3" t="s">
        <v>463</v>
      </c>
      <c r="Q33" s="3" t="str">
        <f t="shared" si="0"/>
        <v>TRADE_OFFS_REMAIN</v>
      </c>
      <c r="R33" s="3" t="str">
        <f t="shared" si="1"/>
        <v>PASS</v>
      </c>
      <c r="S33" s="3" t="s">
        <v>464</v>
      </c>
      <c r="T33" s="3" t="str">
        <f t="shared" si="2"/>
        <v>TRADE_OFFS</v>
      </c>
      <c r="U33" s="3" t="str">
        <f t="shared" si="3"/>
        <v>PASS</v>
      </c>
      <c r="V33" s="12" t="b">
        <f t="shared" si="4"/>
        <v>1</v>
      </c>
      <c r="W33" s="12" t="b">
        <f t="shared" si="5"/>
        <v>1</v>
      </c>
      <c r="X33" s="12" t="b">
        <f t="shared" si="6"/>
        <v>0</v>
      </c>
      <c r="Y33" s="12" t="b">
        <f t="shared" si="7"/>
        <v>0</v>
      </c>
      <c r="Z33" s="12" t="b">
        <f t="shared" si="8"/>
        <v>0</v>
      </c>
      <c r="AA33" s="12" t="b">
        <f t="shared" si="9"/>
        <v>0</v>
      </c>
      <c r="AB33" s="12" t="b">
        <f t="shared" si="10"/>
        <v>1</v>
      </c>
      <c r="AC33" s="12" t="b">
        <f t="shared" si="11"/>
        <v>0</v>
      </c>
      <c r="AD33" s="12" t="b">
        <f t="shared" si="12"/>
        <v>0</v>
      </c>
      <c r="AE33" s="12" t="b">
        <f t="shared" si="13"/>
        <v>0</v>
      </c>
      <c r="AF33" s="12" t="s">
        <v>206</v>
      </c>
      <c r="AG33" s="12" t="b">
        <f t="shared" si="14"/>
        <v>0</v>
      </c>
      <c r="AH33" s="12"/>
    </row>
    <row r="34" spans="1:34" ht="21" customHeight="1">
      <c r="A34" s="3" t="s">
        <v>528</v>
      </c>
      <c r="B34" s="3" t="s">
        <v>529</v>
      </c>
      <c r="C34" s="3" t="s">
        <v>153</v>
      </c>
      <c r="D34" s="3" t="s">
        <v>154</v>
      </c>
      <c r="E34" s="3" t="s">
        <v>154</v>
      </c>
      <c r="F34" s="3" t="s">
        <v>454</v>
      </c>
      <c r="G34" s="3" t="s">
        <v>204</v>
      </c>
      <c r="H34" s="3" t="s">
        <v>205</v>
      </c>
      <c r="I34" s="3" t="s">
        <v>170</v>
      </c>
      <c r="J34" s="3" t="s">
        <v>153</v>
      </c>
      <c r="K34" s="3" t="s">
        <v>153</v>
      </c>
      <c r="L34" s="3" t="s">
        <v>153</v>
      </c>
      <c r="M34" s="3" t="s">
        <v>153</v>
      </c>
      <c r="N34" s="3" t="s">
        <v>454</v>
      </c>
      <c r="O34" s="3" t="s">
        <v>454</v>
      </c>
      <c r="P34" s="3" t="s">
        <v>307</v>
      </c>
      <c r="Q34" s="3" t="str">
        <f t="shared" si="0"/>
        <v>UNRESOLVED</v>
      </c>
      <c r="R34" s="3" t="str">
        <f t="shared" si="1"/>
        <v>PASS</v>
      </c>
      <c r="S34" s="3" t="s">
        <v>503</v>
      </c>
      <c r="T34" s="3" t="str">
        <f t="shared" si="2"/>
        <v>EVIDENCE_BLOCK</v>
      </c>
      <c r="U34" s="3" t="str">
        <f t="shared" si="3"/>
        <v>PASS</v>
      </c>
      <c r="V34" s="12" t="b">
        <f t="shared" si="4"/>
        <v>1</v>
      </c>
      <c r="W34" s="12" t="b">
        <f t="shared" si="5"/>
        <v>1</v>
      </c>
      <c r="X34" s="12" t="b">
        <f t="shared" si="6"/>
        <v>0</v>
      </c>
      <c r="Y34" s="12" t="b">
        <f t="shared" si="7"/>
        <v>0</v>
      </c>
      <c r="Z34" s="12" t="b">
        <f t="shared" si="8"/>
        <v>0</v>
      </c>
      <c r="AA34" s="12" t="b">
        <f t="shared" si="9"/>
        <v>0</v>
      </c>
      <c r="AB34" s="12" t="b">
        <f t="shared" si="10"/>
        <v>1</v>
      </c>
      <c r="AC34" s="12" t="b">
        <f t="shared" si="11"/>
        <v>1</v>
      </c>
      <c r="AD34" s="12" t="b">
        <f t="shared" si="12"/>
        <v>1</v>
      </c>
      <c r="AE34" s="12" t="b">
        <f t="shared" si="13"/>
        <v>0</v>
      </c>
      <c r="AF34" s="12" t="s">
        <v>206</v>
      </c>
      <c r="AG34" s="12" t="b">
        <f t="shared" si="14"/>
        <v>0</v>
      </c>
      <c r="AH34" s="12"/>
    </row>
    <row r="35" spans="1:34" ht="21" customHeight="1">
      <c r="A35" s="3" t="s">
        <v>530</v>
      </c>
      <c r="B35" s="3" t="s">
        <v>531</v>
      </c>
      <c r="C35" s="3" t="s">
        <v>153</v>
      </c>
      <c r="D35" s="3" t="s">
        <v>154</v>
      </c>
      <c r="E35" s="3" t="s">
        <v>154</v>
      </c>
      <c r="F35" s="3" t="s">
        <v>454</v>
      </c>
      <c r="G35" s="3" t="s">
        <v>204</v>
      </c>
      <c r="H35" s="3" t="s">
        <v>205</v>
      </c>
      <c r="I35" s="3" t="s">
        <v>170</v>
      </c>
      <c r="J35" s="3" t="s">
        <v>454</v>
      </c>
      <c r="K35" s="3" t="s">
        <v>454</v>
      </c>
      <c r="L35" s="3" t="s">
        <v>153</v>
      </c>
      <c r="M35" s="3" t="s">
        <v>153</v>
      </c>
      <c r="N35" s="3" t="s">
        <v>454</v>
      </c>
      <c r="O35" s="3" t="s">
        <v>454</v>
      </c>
      <c r="P35" s="3" t="s">
        <v>467</v>
      </c>
      <c r="Q35" s="3" t="str">
        <f t="shared" si="0"/>
        <v>NOT_COMPARABLE</v>
      </c>
      <c r="R35" s="3" t="str">
        <f t="shared" si="1"/>
        <v>PASS</v>
      </c>
      <c r="S35" s="3" t="s">
        <v>500</v>
      </c>
      <c r="T35" s="3" t="str">
        <f t="shared" si="2"/>
        <v>INCOMPATIBLE_CONTEXT</v>
      </c>
      <c r="U35" s="3" t="str">
        <f t="shared" si="3"/>
        <v>PASS</v>
      </c>
      <c r="V35" s="12" t="b">
        <f t="shared" si="4"/>
        <v>1</v>
      </c>
      <c r="W35" s="12" t="b">
        <f t="shared" si="5"/>
        <v>1</v>
      </c>
      <c r="X35" s="12" t="b">
        <f t="shared" si="6"/>
        <v>0</v>
      </c>
      <c r="Y35" s="12" t="b">
        <f t="shared" si="7"/>
        <v>0</v>
      </c>
      <c r="Z35" s="12" t="b">
        <f t="shared" si="8"/>
        <v>0</v>
      </c>
      <c r="AA35" s="12" t="b">
        <f t="shared" si="9"/>
        <v>0</v>
      </c>
      <c r="AB35" s="12" t="b">
        <f t="shared" si="10"/>
        <v>0</v>
      </c>
      <c r="AC35" s="12" t="b">
        <f t="shared" si="11"/>
        <v>0</v>
      </c>
      <c r="AD35" s="12" t="b">
        <f t="shared" si="12"/>
        <v>1</v>
      </c>
      <c r="AE35" s="12" t="b">
        <f t="shared" si="13"/>
        <v>0</v>
      </c>
      <c r="AF35" s="12" t="s">
        <v>206</v>
      </c>
      <c r="AG35" s="12" t="b">
        <f t="shared" si="14"/>
        <v>0</v>
      </c>
      <c r="AH35" s="12"/>
    </row>
    <row r="36" spans="1:34" ht="21" customHeight="1">
      <c r="A36" s="3" t="s">
        <v>532</v>
      </c>
      <c r="B36" s="3" t="s">
        <v>533</v>
      </c>
      <c r="C36" s="3" t="s">
        <v>153</v>
      </c>
      <c r="D36" s="3" t="s">
        <v>154</v>
      </c>
      <c r="E36" s="3" t="s">
        <v>154</v>
      </c>
      <c r="F36" s="3" t="s">
        <v>454</v>
      </c>
      <c r="G36" s="3" t="s">
        <v>204</v>
      </c>
      <c r="H36" s="3" t="s">
        <v>205</v>
      </c>
      <c r="I36" s="3" t="s">
        <v>170</v>
      </c>
      <c r="J36" s="3" t="s">
        <v>153</v>
      </c>
      <c r="K36" s="3" t="s">
        <v>454</v>
      </c>
      <c r="L36" s="3" t="s">
        <v>454</v>
      </c>
      <c r="M36" s="3" t="s">
        <v>153</v>
      </c>
      <c r="N36" s="3" t="s">
        <v>454</v>
      </c>
      <c r="O36" s="3" t="s">
        <v>153</v>
      </c>
      <c r="P36" s="3" t="s">
        <v>463</v>
      </c>
      <c r="Q36" s="3" t="str">
        <f t="shared" si="0"/>
        <v>TRADE_OFFS_REMAIN</v>
      </c>
      <c r="R36" s="3" t="str">
        <f t="shared" si="1"/>
        <v>PASS</v>
      </c>
      <c r="S36" s="3" t="s">
        <v>464</v>
      </c>
      <c r="T36" s="3" t="str">
        <f t="shared" si="2"/>
        <v>TRADE_OFFS</v>
      </c>
      <c r="U36" s="3" t="str">
        <f t="shared" si="3"/>
        <v>PASS</v>
      </c>
      <c r="V36" s="12" t="b">
        <f t="shared" si="4"/>
        <v>1</v>
      </c>
      <c r="W36" s="12" t="b">
        <f t="shared" si="5"/>
        <v>1</v>
      </c>
      <c r="X36" s="12" t="b">
        <f t="shared" si="6"/>
        <v>0</v>
      </c>
      <c r="Y36" s="12" t="b">
        <f t="shared" si="7"/>
        <v>0</v>
      </c>
      <c r="Z36" s="12" t="b">
        <f t="shared" si="8"/>
        <v>0</v>
      </c>
      <c r="AA36" s="12" t="b">
        <f t="shared" si="9"/>
        <v>0</v>
      </c>
      <c r="AB36" s="12" t="b">
        <f t="shared" si="10"/>
        <v>1</v>
      </c>
      <c r="AC36" s="12" t="b">
        <f t="shared" si="11"/>
        <v>0</v>
      </c>
      <c r="AD36" s="12" t="b">
        <f t="shared" si="12"/>
        <v>0</v>
      </c>
      <c r="AE36" s="12" t="b">
        <f t="shared" si="13"/>
        <v>0</v>
      </c>
      <c r="AF36" s="12" t="s">
        <v>206</v>
      </c>
      <c r="AG36" s="12" t="b">
        <f t="shared" si="14"/>
        <v>0</v>
      </c>
      <c r="AH36" s="12"/>
    </row>
    <row r="37" spans="1:34" ht="21" customHeight="1">
      <c r="A37" s="3" t="s">
        <v>534</v>
      </c>
      <c r="B37" s="3" t="s">
        <v>535</v>
      </c>
      <c r="C37" s="3" t="s">
        <v>153</v>
      </c>
      <c r="D37" s="3" t="s">
        <v>154</v>
      </c>
      <c r="E37" s="3" t="s">
        <v>154</v>
      </c>
      <c r="F37" s="3" t="s">
        <v>454</v>
      </c>
      <c r="G37" s="3" t="s">
        <v>204</v>
      </c>
      <c r="H37" s="3" t="s">
        <v>205</v>
      </c>
      <c r="I37" s="3" t="s">
        <v>170</v>
      </c>
      <c r="J37" s="3" t="s">
        <v>153</v>
      </c>
      <c r="K37" s="3" t="s">
        <v>454</v>
      </c>
      <c r="L37" s="3" t="s">
        <v>454</v>
      </c>
      <c r="M37" s="3" t="s">
        <v>153</v>
      </c>
      <c r="N37" s="3" t="s">
        <v>454</v>
      </c>
      <c r="O37" s="3" t="s">
        <v>153</v>
      </c>
      <c r="P37" s="3" t="s">
        <v>463</v>
      </c>
      <c r="Q37" s="3" t="str">
        <f t="shared" si="0"/>
        <v>TRADE_OFFS_REMAIN</v>
      </c>
      <c r="R37" s="3" t="str">
        <f t="shared" si="1"/>
        <v>PASS</v>
      </c>
      <c r="S37" s="3" t="s">
        <v>464</v>
      </c>
      <c r="T37" s="3" t="str">
        <f t="shared" si="2"/>
        <v>TRADE_OFFS</v>
      </c>
      <c r="U37" s="3" t="str">
        <f t="shared" si="3"/>
        <v>PASS</v>
      </c>
      <c r="V37" s="12" t="b">
        <f t="shared" si="4"/>
        <v>1</v>
      </c>
      <c r="W37" s="12" t="b">
        <f t="shared" si="5"/>
        <v>1</v>
      </c>
      <c r="X37" s="12" t="b">
        <f t="shared" si="6"/>
        <v>0</v>
      </c>
      <c r="Y37" s="12" t="b">
        <f t="shared" si="7"/>
        <v>0</v>
      </c>
      <c r="Z37" s="12" t="b">
        <f t="shared" si="8"/>
        <v>0</v>
      </c>
      <c r="AA37" s="12" t="b">
        <f t="shared" si="9"/>
        <v>0</v>
      </c>
      <c r="AB37" s="12" t="b">
        <f t="shared" si="10"/>
        <v>1</v>
      </c>
      <c r="AC37" s="12" t="b">
        <f t="shared" si="11"/>
        <v>0</v>
      </c>
      <c r="AD37" s="12" t="b">
        <f t="shared" si="12"/>
        <v>0</v>
      </c>
      <c r="AE37" s="12" t="b">
        <f t="shared" si="13"/>
        <v>0</v>
      </c>
      <c r="AF37" s="12" t="s">
        <v>206</v>
      </c>
      <c r="AG37" s="12" t="b">
        <f t="shared" si="14"/>
        <v>0</v>
      </c>
      <c r="AH37" s="12"/>
    </row>
    <row r="38" spans="1:34" ht="21" customHeight="1">
      <c r="A38" s="3" t="s">
        <v>536</v>
      </c>
      <c r="B38" s="3" t="s">
        <v>537</v>
      </c>
      <c r="C38" s="3" t="s">
        <v>153</v>
      </c>
      <c r="D38" s="3" t="s">
        <v>154</v>
      </c>
      <c r="E38" s="3" t="s">
        <v>154</v>
      </c>
      <c r="F38" s="3" t="s">
        <v>454</v>
      </c>
      <c r="G38" s="3" t="s">
        <v>204</v>
      </c>
      <c r="H38" s="3" t="s">
        <v>205</v>
      </c>
      <c r="I38" s="3" t="s">
        <v>170</v>
      </c>
      <c r="J38" s="3" t="s">
        <v>153</v>
      </c>
      <c r="K38" s="3" t="s">
        <v>454</v>
      </c>
      <c r="L38" s="3" t="s">
        <v>153</v>
      </c>
      <c r="M38" s="3" t="s">
        <v>153</v>
      </c>
      <c r="N38" s="3" t="s">
        <v>454</v>
      </c>
      <c r="O38" s="3" t="s">
        <v>454</v>
      </c>
      <c r="P38" s="3" t="s">
        <v>455</v>
      </c>
      <c r="Q38" s="3" t="str">
        <f t="shared" si="0"/>
        <v>A_DOMINATES_B</v>
      </c>
      <c r="R38" s="3" t="str">
        <f t="shared" si="1"/>
        <v>PASS</v>
      </c>
      <c r="S38" s="3" t="s">
        <v>456</v>
      </c>
      <c r="T38" s="3" t="str">
        <f t="shared" si="2"/>
        <v>A_DOMINANCE</v>
      </c>
      <c r="U38" s="3" t="str">
        <f t="shared" si="3"/>
        <v>PASS</v>
      </c>
      <c r="V38" s="12" t="b">
        <f t="shared" si="4"/>
        <v>1</v>
      </c>
      <c r="W38" s="12" t="b">
        <f t="shared" si="5"/>
        <v>1</v>
      </c>
      <c r="X38" s="12" t="b">
        <f t="shared" si="6"/>
        <v>0</v>
      </c>
      <c r="Y38" s="12" t="b">
        <f t="shared" si="7"/>
        <v>0</v>
      </c>
      <c r="Z38" s="12" t="b">
        <f t="shared" si="8"/>
        <v>0</v>
      </c>
      <c r="AA38" s="12" t="b">
        <f t="shared" si="9"/>
        <v>0</v>
      </c>
      <c r="AB38" s="12" t="b">
        <f t="shared" si="10"/>
        <v>1</v>
      </c>
      <c r="AC38" s="12" t="b">
        <f t="shared" si="11"/>
        <v>0</v>
      </c>
      <c r="AD38" s="12" t="b">
        <f t="shared" si="12"/>
        <v>1</v>
      </c>
      <c r="AE38" s="12" t="b">
        <f t="shared" si="13"/>
        <v>0</v>
      </c>
      <c r="AF38" s="12" t="s">
        <v>206</v>
      </c>
      <c r="AG38" s="12" t="b">
        <f t="shared" si="14"/>
        <v>0</v>
      </c>
      <c r="AH38" s="12"/>
    </row>
    <row r="39" spans="1:34" ht="21" customHeight="1">
      <c r="A39" s="3" t="s">
        <v>538</v>
      </c>
      <c r="B39" s="3" t="s">
        <v>539</v>
      </c>
      <c r="C39" s="3" t="s">
        <v>153</v>
      </c>
      <c r="D39" s="3" t="s">
        <v>154</v>
      </c>
      <c r="E39" s="3" t="s">
        <v>154</v>
      </c>
      <c r="F39" s="3" t="s">
        <v>454</v>
      </c>
      <c r="G39" s="3" t="s">
        <v>204</v>
      </c>
      <c r="H39" s="3" t="s">
        <v>205</v>
      </c>
      <c r="I39" s="3" t="s">
        <v>170</v>
      </c>
      <c r="J39" s="3" t="s">
        <v>153</v>
      </c>
      <c r="K39" s="3" t="s">
        <v>153</v>
      </c>
      <c r="L39" s="3" t="s">
        <v>153</v>
      </c>
      <c r="M39" s="3" t="s">
        <v>153</v>
      </c>
      <c r="N39" s="3" t="s">
        <v>454</v>
      </c>
      <c r="O39" s="3" t="s">
        <v>454</v>
      </c>
      <c r="P39" s="3" t="s">
        <v>307</v>
      </c>
      <c r="Q39" s="3" t="str">
        <f t="shared" si="0"/>
        <v>UNRESOLVED</v>
      </c>
      <c r="R39" s="3" t="str">
        <f t="shared" si="1"/>
        <v>PASS</v>
      </c>
      <c r="S39" s="3" t="s">
        <v>503</v>
      </c>
      <c r="T39" s="3" t="str">
        <f t="shared" si="2"/>
        <v>EVIDENCE_BLOCK</v>
      </c>
      <c r="U39" s="3" t="str">
        <f t="shared" si="3"/>
        <v>PASS</v>
      </c>
      <c r="V39" s="12" t="b">
        <f t="shared" si="4"/>
        <v>1</v>
      </c>
      <c r="W39" s="12" t="b">
        <f t="shared" si="5"/>
        <v>1</v>
      </c>
      <c r="X39" s="12" t="b">
        <f t="shared" si="6"/>
        <v>0</v>
      </c>
      <c r="Y39" s="12" t="b">
        <f t="shared" si="7"/>
        <v>0</v>
      </c>
      <c r="Z39" s="12" t="b">
        <f t="shared" si="8"/>
        <v>0</v>
      </c>
      <c r="AA39" s="12" t="b">
        <f t="shared" si="9"/>
        <v>0</v>
      </c>
      <c r="AB39" s="12" t="b">
        <f t="shared" si="10"/>
        <v>1</v>
      </c>
      <c r="AC39" s="12" t="b">
        <f t="shared" si="11"/>
        <v>1</v>
      </c>
      <c r="AD39" s="12" t="b">
        <f t="shared" si="12"/>
        <v>1</v>
      </c>
      <c r="AE39" s="12" t="b">
        <f t="shared" si="13"/>
        <v>0</v>
      </c>
      <c r="AF39" s="12" t="s">
        <v>206</v>
      </c>
      <c r="AG39" s="12" t="b">
        <f t="shared" si="14"/>
        <v>0</v>
      </c>
      <c r="AH39" s="12"/>
    </row>
    <row r="40" spans="1:34" ht="21" customHeight="1">
      <c r="A40" s="3" t="s">
        <v>540</v>
      </c>
      <c r="B40" s="3" t="s">
        <v>541</v>
      </c>
      <c r="C40" s="3" t="s">
        <v>153</v>
      </c>
      <c r="D40" s="3" t="s">
        <v>154</v>
      </c>
      <c r="E40" s="3" t="s">
        <v>154</v>
      </c>
      <c r="F40" s="3" t="s">
        <v>454</v>
      </c>
      <c r="G40" s="3" t="s">
        <v>204</v>
      </c>
      <c r="H40" s="3" t="s">
        <v>205</v>
      </c>
      <c r="I40" s="3" t="s">
        <v>170</v>
      </c>
      <c r="J40" s="3" t="s">
        <v>153</v>
      </c>
      <c r="K40" s="3" t="s">
        <v>153</v>
      </c>
      <c r="L40" s="3" t="s">
        <v>153</v>
      </c>
      <c r="M40" s="3" t="s">
        <v>153</v>
      </c>
      <c r="N40" s="3" t="s">
        <v>454</v>
      </c>
      <c r="O40" s="3" t="s">
        <v>454</v>
      </c>
      <c r="P40" s="3" t="s">
        <v>307</v>
      </c>
      <c r="Q40" s="3" t="str">
        <f t="shared" si="0"/>
        <v>UNRESOLVED</v>
      </c>
      <c r="R40" s="3" t="str">
        <f t="shared" si="1"/>
        <v>PASS</v>
      </c>
      <c r="S40" s="3" t="s">
        <v>503</v>
      </c>
      <c r="T40" s="3" t="str">
        <f t="shared" si="2"/>
        <v>EVIDENCE_BLOCK</v>
      </c>
      <c r="U40" s="3" t="str">
        <f t="shared" si="3"/>
        <v>PASS</v>
      </c>
      <c r="V40" s="12" t="b">
        <f t="shared" si="4"/>
        <v>1</v>
      </c>
      <c r="W40" s="12" t="b">
        <f t="shared" si="5"/>
        <v>1</v>
      </c>
      <c r="X40" s="12" t="b">
        <f t="shared" si="6"/>
        <v>0</v>
      </c>
      <c r="Y40" s="12" t="b">
        <f t="shared" si="7"/>
        <v>0</v>
      </c>
      <c r="Z40" s="12" t="b">
        <f t="shared" si="8"/>
        <v>0</v>
      </c>
      <c r="AA40" s="12" t="b">
        <f t="shared" si="9"/>
        <v>0</v>
      </c>
      <c r="AB40" s="12" t="b">
        <f t="shared" si="10"/>
        <v>1</v>
      </c>
      <c r="AC40" s="12" t="b">
        <f t="shared" si="11"/>
        <v>1</v>
      </c>
      <c r="AD40" s="12" t="b">
        <f t="shared" si="12"/>
        <v>1</v>
      </c>
      <c r="AE40" s="12" t="b">
        <f t="shared" si="13"/>
        <v>0</v>
      </c>
      <c r="AF40" s="12" t="s">
        <v>206</v>
      </c>
      <c r="AG40" s="12" t="b">
        <f t="shared" si="14"/>
        <v>0</v>
      </c>
      <c r="AH40" s="12"/>
    </row>
    <row r="41" spans="1:34" ht="21" customHeight="1">
      <c r="A41" s="3" t="s">
        <v>542</v>
      </c>
      <c r="B41" s="3" t="s">
        <v>543</v>
      </c>
      <c r="C41" s="3" t="s">
        <v>153</v>
      </c>
      <c r="D41" s="3" t="s">
        <v>154</v>
      </c>
      <c r="E41" s="3" t="s">
        <v>154</v>
      </c>
      <c r="F41" s="3" t="s">
        <v>454</v>
      </c>
      <c r="G41" s="3" t="s">
        <v>204</v>
      </c>
      <c r="H41" s="3" t="s">
        <v>205</v>
      </c>
      <c r="I41" s="3" t="s">
        <v>170</v>
      </c>
      <c r="J41" s="3" t="s">
        <v>454</v>
      </c>
      <c r="K41" s="3" t="s">
        <v>454</v>
      </c>
      <c r="L41" s="3" t="s">
        <v>454</v>
      </c>
      <c r="M41" s="3" t="s">
        <v>153</v>
      </c>
      <c r="N41" s="3" t="s">
        <v>454</v>
      </c>
      <c r="O41" s="3" t="s">
        <v>153</v>
      </c>
      <c r="P41" s="3" t="s">
        <v>467</v>
      </c>
      <c r="Q41" s="3" t="str">
        <f t="shared" si="0"/>
        <v>NOT_COMPARABLE</v>
      </c>
      <c r="R41" s="3" t="str">
        <f t="shared" si="1"/>
        <v>PASS</v>
      </c>
      <c r="S41" s="3" t="s">
        <v>500</v>
      </c>
      <c r="T41" s="3" t="str">
        <f t="shared" si="2"/>
        <v>INCOMPATIBLE_CONTEXT</v>
      </c>
      <c r="U41" s="3" t="str">
        <f t="shared" si="3"/>
        <v>PASS</v>
      </c>
      <c r="V41" s="12" t="b">
        <f t="shared" si="4"/>
        <v>1</v>
      </c>
      <c r="W41" s="12" t="b">
        <f t="shared" si="5"/>
        <v>1</v>
      </c>
      <c r="X41" s="12" t="b">
        <f t="shared" si="6"/>
        <v>0</v>
      </c>
      <c r="Y41" s="12" t="b">
        <f t="shared" si="7"/>
        <v>0</v>
      </c>
      <c r="Z41" s="12" t="b">
        <f t="shared" si="8"/>
        <v>0</v>
      </c>
      <c r="AA41" s="12" t="b">
        <f t="shared" si="9"/>
        <v>0</v>
      </c>
      <c r="AB41" s="12" t="b">
        <f t="shared" si="10"/>
        <v>0</v>
      </c>
      <c r="AC41" s="12" t="b">
        <f t="shared" si="11"/>
        <v>0</v>
      </c>
      <c r="AD41" s="12" t="b">
        <f t="shared" si="12"/>
        <v>0</v>
      </c>
      <c r="AE41" s="12" t="b">
        <f t="shared" si="13"/>
        <v>0</v>
      </c>
      <c r="AF41" s="12" t="s">
        <v>206</v>
      </c>
      <c r="AG41" s="12" t="b">
        <f t="shared" si="14"/>
        <v>0</v>
      </c>
      <c r="AH41" s="12"/>
    </row>
    <row r="42" spans="1:34" ht="21" customHeight="1">
      <c r="A42" s="3" t="s">
        <v>544</v>
      </c>
      <c r="B42" s="3" t="s">
        <v>545</v>
      </c>
      <c r="C42" s="3" t="s">
        <v>153</v>
      </c>
      <c r="D42" s="3" t="s">
        <v>154</v>
      </c>
      <c r="E42" s="3" t="s">
        <v>154</v>
      </c>
      <c r="F42" s="3" t="s">
        <v>454</v>
      </c>
      <c r="G42" s="3" t="s">
        <v>204</v>
      </c>
      <c r="H42" s="3" t="s">
        <v>205</v>
      </c>
      <c r="I42" s="3" t="s">
        <v>170</v>
      </c>
      <c r="J42" s="3" t="s">
        <v>454</v>
      </c>
      <c r="K42" s="3" t="s">
        <v>454</v>
      </c>
      <c r="L42" s="3" t="s">
        <v>454</v>
      </c>
      <c r="M42" s="3" t="s">
        <v>153</v>
      </c>
      <c r="N42" s="3" t="s">
        <v>454</v>
      </c>
      <c r="O42" s="3" t="s">
        <v>153</v>
      </c>
      <c r="P42" s="3" t="s">
        <v>467</v>
      </c>
      <c r="Q42" s="3" t="str">
        <f t="shared" si="0"/>
        <v>NOT_COMPARABLE</v>
      </c>
      <c r="R42" s="3" t="str">
        <f t="shared" si="1"/>
        <v>PASS</v>
      </c>
      <c r="S42" s="3" t="s">
        <v>500</v>
      </c>
      <c r="T42" s="3" t="str">
        <f t="shared" si="2"/>
        <v>INCOMPATIBLE_CONTEXT</v>
      </c>
      <c r="U42" s="3" t="str">
        <f t="shared" si="3"/>
        <v>PASS</v>
      </c>
      <c r="V42" s="12" t="b">
        <f t="shared" si="4"/>
        <v>1</v>
      </c>
      <c r="W42" s="12" t="b">
        <f t="shared" si="5"/>
        <v>1</v>
      </c>
      <c r="X42" s="12" t="b">
        <f t="shared" si="6"/>
        <v>0</v>
      </c>
      <c r="Y42" s="12" t="b">
        <f t="shared" si="7"/>
        <v>0</v>
      </c>
      <c r="Z42" s="12" t="b">
        <f t="shared" si="8"/>
        <v>0</v>
      </c>
      <c r="AA42" s="12" t="b">
        <f t="shared" si="9"/>
        <v>0</v>
      </c>
      <c r="AB42" s="12" t="b">
        <f t="shared" si="10"/>
        <v>0</v>
      </c>
      <c r="AC42" s="12" t="b">
        <f t="shared" si="11"/>
        <v>0</v>
      </c>
      <c r="AD42" s="12" t="b">
        <f t="shared" si="12"/>
        <v>0</v>
      </c>
      <c r="AE42" s="12" t="b">
        <f t="shared" si="13"/>
        <v>0</v>
      </c>
      <c r="AF42" s="12" t="s">
        <v>206</v>
      </c>
      <c r="AG42" s="12" t="b">
        <f t="shared" si="14"/>
        <v>0</v>
      </c>
      <c r="AH42" s="12"/>
    </row>
    <row r="43" spans="1:34" ht="21" customHeight="1">
      <c r="A43" s="3" t="s">
        <v>546</v>
      </c>
      <c r="B43" s="3" t="s">
        <v>547</v>
      </c>
      <c r="C43" s="3" t="s">
        <v>153</v>
      </c>
      <c r="D43" s="3" t="s">
        <v>154</v>
      </c>
      <c r="E43" s="3" t="s">
        <v>154</v>
      </c>
      <c r="F43" s="3" t="s">
        <v>454</v>
      </c>
      <c r="G43" s="3" t="s">
        <v>204</v>
      </c>
      <c r="H43" s="3" t="s">
        <v>205</v>
      </c>
      <c r="I43" s="3" t="s">
        <v>170</v>
      </c>
      <c r="J43" s="3" t="s">
        <v>454</v>
      </c>
      <c r="K43" s="3" t="s">
        <v>454</v>
      </c>
      <c r="L43" s="3" t="s">
        <v>454</v>
      </c>
      <c r="M43" s="3" t="s">
        <v>153</v>
      </c>
      <c r="N43" s="3" t="s">
        <v>454</v>
      </c>
      <c r="O43" s="3" t="s">
        <v>153</v>
      </c>
      <c r="P43" s="3" t="s">
        <v>467</v>
      </c>
      <c r="Q43" s="3" t="str">
        <f t="shared" si="0"/>
        <v>NOT_COMPARABLE</v>
      </c>
      <c r="R43" s="3" t="str">
        <f t="shared" si="1"/>
        <v>PASS</v>
      </c>
      <c r="S43" s="3" t="s">
        <v>500</v>
      </c>
      <c r="T43" s="3" t="str">
        <f t="shared" si="2"/>
        <v>INCOMPATIBLE_CONTEXT</v>
      </c>
      <c r="U43" s="3" t="str">
        <f t="shared" si="3"/>
        <v>PASS</v>
      </c>
      <c r="V43" s="12" t="b">
        <f t="shared" si="4"/>
        <v>1</v>
      </c>
      <c r="W43" s="12" t="b">
        <f t="shared" si="5"/>
        <v>1</v>
      </c>
      <c r="X43" s="12" t="b">
        <f t="shared" si="6"/>
        <v>0</v>
      </c>
      <c r="Y43" s="12" t="b">
        <f t="shared" si="7"/>
        <v>0</v>
      </c>
      <c r="Z43" s="12" t="b">
        <f t="shared" si="8"/>
        <v>0</v>
      </c>
      <c r="AA43" s="12" t="b">
        <f t="shared" si="9"/>
        <v>0</v>
      </c>
      <c r="AB43" s="12" t="b">
        <f t="shared" si="10"/>
        <v>0</v>
      </c>
      <c r="AC43" s="12" t="b">
        <f t="shared" si="11"/>
        <v>0</v>
      </c>
      <c r="AD43" s="12" t="b">
        <f t="shared" si="12"/>
        <v>0</v>
      </c>
      <c r="AE43" s="12" t="b">
        <f t="shared" si="13"/>
        <v>0</v>
      </c>
      <c r="AF43" s="12" t="s">
        <v>206</v>
      </c>
      <c r="AG43" s="12" t="b">
        <f t="shared" si="14"/>
        <v>0</v>
      </c>
      <c r="AH43" s="12"/>
    </row>
    <row r="44" spans="1:34" ht="21" customHeight="1">
      <c r="A44" s="3" t="s">
        <v>548</v>
      </c>
      <c r="B44" s="3" t="s">
        <v>549</v>
      </c>
      <c r="C44" s="3" t="s">
        <v>153</v>
      </c>
      <c r="D44" s="3" t="s">
        <v>154</v>
      </c>
      <c r="E44" s="3" t="s">
        <v>154</v>
      </c>
      <c r="F44" s="3" t="s">
        <v>454</v>
      </c>
      <c r="G44" s="3" t="s">
        <v>204</v>
      </c>
      <c r="H44" s="3" t="s">
        <v>205</v>
      </c>
      <c r="I44" s="3" t="s">
        <v>170</v>
      </c>
      <c r="J44" s="3" t="s">
        <v>153</v>
      </c>
      <c r="K44" s="3" t="s">
        <v>454</v>
      </c>
      <c r="L44" s="3" t="s">
        <v>454</v>
      </c>
      <c r="M44" s="3" t="s">
        <v>153</v>
      </c>
      <c r="N44" s="3" t="s">
        <v>454</v>
      </c>
      <c r="O44" s="3" t="s">
        <v>153</v>
      </c>
      <c r="P44" s="3" t="s">
        <v>463</v>
      </c>
      <c r="Q44" s="3" t="str">
        <f t="shared" si="0"/>
        <v>TRADE_OFFS_REMAIN</v>
      </c>
      <c r="R44" s="3" t="str">
        <f t="shared" si="1"/>
        <v>PASS</v>
      </c>
      <c r="S44" s="3" t="s">
        <v>464</v>
      </c>
      <c r="T44" s="3" t="str">
        <f t="shared" si="2"/>
        <v>TRADE_OFFS</v>
      </c>
      <c r="U44" s="3" t="str">
        <f t="shared" si="3"/>
        <v>PASS</v>
      </c>
      <c r="V44" s="12" t="b">
        <f t="shared" si="4"/>
        <v>1</v>
      </c>
      <c r="W44" s="12" t="b">
        <f t="shared" si="5"/>
        <v>1</v>
      </c>
      <c r="X44" s="12" t="b">
        <f t="shared" si="6"/>
        <v>0</v>
      </c>
      <c r="Y44" s="12" t="b">
        <f t="shared" si="7"/>
        <v>0</v>
      </c>
      <c r="Z44" s="12" t="b">
        <f t="shared" si="8"/>
        <v>0</v>
      </c>
      <c r="AA44" s="12" t="b">
        <f t="shared" si="9"/>
        <v>0</v>
      </c>
      <c r="AB44" s="12" t="b">
        <f t="shared" si="10"/>
        <v>1</v>
      </c>
      <c r="AC44" s="12" t="b">
        <f t="shared" si="11"/>
        <v>0</v>
      </c>
      <c r="AD44" s="12" t="b">
        <f t="shared" si="12"/>
        <v>0</v>
      </c>
      <c r="AE44" s="12" t="b">
        <f t="shared" si="13"/>
        <v>0</v>
      </c>
      <c r="AF44" s="12" t="s">
        <v>206</v>
      </c>
      <c r="AG44" s="12" t="b">
        <f t="shared" si="14"/>
        <v>0</v>
      </c>
      <c r="AH44" s="12"/>
    </row>
    <row r="45" spans="1:34" ht="21" customHeight="1">
      <c r="A45" s="3" t="s">
        <v>550</v>
      </c>
      <c r="B45" s="3" t="s">
        <v>551</v>
      </c>
      <c r="C45" s="3" t="s">
        <v>153</v>
      </c>
      <c r="D45" s="3" t="s">
        <v>154</v>
      </c>
      <c r="E45" s="3" t="s">
        <v>154</v>
      </c>
      <c r="F45" s="3" t="s">
        <v>454</v>
      </c>
      <c r="G45" s="3" t="s">
        <v>204</v>
      </c>
      <c r="H45" s="3" t="s">
        <v>205</v>
      </c>
      <c r="I45" s="3" t="s">
        <v>210</v>
      </c>
      <c r="J45" s="3" t="s">
        <v>153</v>
      </c>
      <c r="K45" s="3" t="s">
        <v>454</v>
      </c>
      <c r="L45" s="3" t="s">
        <v>153</v>
      </c>
      <c r="M45" s="3" t="s">
        <v>153</v>
      </c>
      <c r="N45" s="3" t="s">
        <v>454</v>
      </c>
      <c r="O45" s="3" t="s">
        <v>153</v>
      </c>
      <c r="P45" s="3" t="s">
        <v>295</v>
      </c>
      <c r="Q45" s="3" t="str">
        <f t="shared" si="0"/>
        <v>DEPENDENT</v>
      </c>
      <c r="R45" s="3" t="str">
        <f t="shared" si="1"/>
        <v>PASS</v>
      </c>
      <c r="S45" s="3" t="s">
        <v>493</v>
      </c>
      <c r="T45" s="3" t="str">
        <f t="shared" si="2"/>
        <v>DEPENDENCY</v>
      </c>
      <c r="U45" s="3" t="str">
        <f t="shared" si="3"/>
        <v>PASS</v>
      </c>
      <c r="V45" s="12" t="b">
        <f t="shared" si="4"/>
        <v>1</v>
      </c>
      <c r="W45" s="12" t="b">
        <f t="shared" si="5"/>
        <v>1</v>
      </c>
      <c r="X45" s="12" t="b">
        <f t="shared" si="6"/>
        <v>0</v>
      </c>
      <c r="Y45" s="12" t="b">
        <f t="shared" si="7"/>
        <v>0</v>
      </c>
      <c r="Z45" s="12" t="b">
        <f t="shared" si="8"/>
        <v>0</v>
      </c>
      <c r="AA45" s="12" t="b">
        <f t="shared" si="9"/>
        <v>1</v>
      </c>
      <c r="AB45" s="12" t="b">
        <f t="shared" si="10"/>
        <v>1</v>
      </c>
      <c r="AC45" s="12" t="b">
        <f t="shared" si="11"/>
        <v>0</v>
      </c>
      <c r="AD45" s="12" t="b">
        <f t="shared" si="12"/>
        <v>1</v>
      </c>
      <c r="AE45" s="12" t="b">
        <f t="shared" si="13"/>
        <v>0</v>
      </c>
      <c r="AF45" s="12" t="s">
        <v>206</v>
      </c>
      <c r="AG45" s="12" t="b">
        <f t="shared" si="14"/>
        <v>0</v>
      </c>
      <c r="AH45" s="12"/>
    </row>
    <row r="46" spans="1:34" ht="21" customHeight="1">
      <c r="A46" s="3" t="s">
        <v>552</v>
      </c>
      <c r="B46" s="3" t="s">
        <v>553</v>
      </c>
      <c r="C46" s="3" t="s">
        <v>153</v>
      </c>
      <c r="D46" s="3" t="s">
        <v>154</v>
      </c>
      <c r="E46" s="3" t="s">
        <v>154</v>
      </c>
      <c r="F46" s="3" t="s">
        <v>454</v>
      </c>
      <c r="G46" s="3" t="s">
        <v>204</v>
      </c>
      <c r="H46" s="3" t="s">
        <v>205</v>
      </c>
      <c r="I46" s="3" t="s">
        <v>170</v>
      </c>
      <c r="J46" s="3" t="s">
        <v>153</v>
      </c>
      <c r="K46" s="3" t="s">
        <v>454</v>
      </c>
      <c r="L46" s="3" t="s">
        <v>454</v>
      </c>
      <c r="M46" s="3" t="s">
        <v>153</v>
      </c>
      <c r="N46" s="3" t="s">
        <v>454</v>
      </c>
      <c r="O46" s="3" t="s">
        <v>153</v>
      </c>
      <c r="P46" s="3" t="s">
        <v>283</v>
      </c>
      <c r="Q46" s="3" t="str">
        <f>IF('Frontier &amp; Stability'!B15="NON_DOMINATED_FRONTIER","NON_DOMINATED_FRONTIER","UNRESOLVED")</f>
        <v>NON_DOMINATED_FRONTIER</v>
      </c>
      <c r="R46" s="3" t="str">
        <f t="shared" si="1"/>
        <v>PASS</v>
      </c>
      <c r="S46" s="3" t="s">
        <v>554</v>
      </c>
      <c r="T46" s="3" t="str">
        <f>IF(Q46="NON_DOMINATED_FRONTIER","PORTFOLIO_VALID","PORTFOLIO_UNRESOLVED")</f>
        <v>PORTFOLIO_VALID</v>
      </c>
      <c r="U46" s="3" t="str">
        <f t="shared" si="3"/>
        <v>PASS</v>
      </c>
      <c r="V46" s="12" t="b">
        <f t="shared" si="4"/>
        <v>1</v>
      </c>
      <c r="W46" s="12" t="b">
        <f t="shared" si="5"/>
        <v>1</v>
      </c>
      <c r="X46" s="12" t="b">
        <f t="shared" si="6"/>
        <v>0</v>
      </c>
      <c r="Y46" s="12" t="b">
        <f t="shared" si="7"/>
        <v>0</v>
      </c>
      <c r="Z46" s="12" t="b">
        <f t="shared" si="8"/>
        <v>0</v>
      </c>
      <c r="AA46" s="12" t="b">
        <f t="shared" si="9"/>
        <v>0</v>
      </c>
      <c r="AB46" s="12" t="b">
        <f t="shared" si="10"/>
        <v>1</v>
      </c>
      <c r="AC46" s="12" t="b">
        <f t="shared" si="11"/>
        <v>0</v>
      </c>
      <c r="AD46" s="12" t="b">
        <f t="shared" si="12"/>
        <v>0</v>
      </c>
      <c r="AE46" s="12" t="b">
        <f t="shared" si="13"/>
        <v>0</v>
      </c>
      <c r="AF46" s="12" t="s">
        <v>206</v>
      </c>
      <c r="AG46" s="12" t="b">
        <f t="shared" si="14"/>
        <v>0</v>
      </c>
      <c r="AH46" s="12"/>
    </row>
    <row r="47" spans="1:34" ht="21" customHeight="1">
      <c r="A47" s="3" t="s">
        <v>555</v>
      </c>
      <c r="B47" s="3" t="s">
        <v>556</v>
      </c>
      <c r="C47" s="3" t="s">
        <v>153</v>
      </c>
      <c r="D47" s="3" t="s">
        <v>154</v>
      </c>
      <c r="E47" s="3" t="s">
        <v>154</v>
      </c>
      <c r="F47" s="3" t="s">
        <v>454</v>
      </c>
      <c r="G47" s="3" t="s">
        <v>204</v>
      </c>
      <c r="H47" s="3" t="s">
        <v>205</v>
      </c>
      <c r="I47" s="3" t="s">
        <v>170</v>
      </c>
      <c r="J47" s="3" t="s">
        <v>153</v>
      </c>
      <c r="K47" s="3" t="s">
        <v>454</v>
      </c>
      <c r="L47" s="3" t="s">
        <v>454</v>
      </c>
      <c r="M47" s="3" t="s">
        <v>454</v>
      </c>
      <c r="N47" s="3" t="s">
        <v>454</v>
      </c>
      <c r="O47" s="3" t="s">
        <v>454</v>
      </c>
      <c r="P47" s="3" t="s">
        <v>557</v>
      </c>
      <c r="Q47" s="3" t="str">
        <f>IF(ISNUMBER(AH47),"VALID_NUMERIC","INVALID_NUMERIC")</f>
        <v>INVALID_NUMERIC</v>
      </c>
      <c r="R47" s="3" t="str">
        <f t="shared" si="1"/>
        <v>PASS</v>
      </c>
      <c r="S47" s="3" t="s">
        <v>558</v>
      </c>
      <c r="T47" s="3" t="str">
        <f>IF(Q47="INVALID_NUMERIC","NUMERIC_TYPE_CHECK","NUMERIC_TYPE_ERROR")</f>
        <v>NUMERIC_TYPE_CHECK</v>
      </c>
      <c r="U47" s="3" t="str">
        <f t="shared" si="3"/>
        <v>PASS</v>
      </c>
      <c r="V47" s="12" t="b">
        <f t="shared" si="4"/>
        <v>1</v>
      </c>
      <c r="W47" s="12" t="b">
        <f t="shared" si="5"/>
        <v>1</v>
      </c>
      <c r="X47" s="12" t="b">
        <f t="shared" si="6"/>
        <v>0</v>
      </c>
      <c r="Y47" s="12" t="b">
        <f t="shared" si="7"/>
        <v>0</v>
      </c>
      <c r="Z47" s="12" t="b">
        <f t="shared" si="8"/>
        <v>0</v>
      </c>
      <c r="AA47" s="12" t="b">
        <f t="shared" si="9"/>
        <v>0</v>
      </c>
      <c r="AB47" s="12" t="b">
        <f t="shared" si="10"/>
        <v>1</v>
      </c>
      <c r="AC47" s="12" t="b">
        <f t="shared" si="11"/>
        <v>0</v>
      </c>
      <c r="AD47" s="12" t="b">
        <f t="shared" si="12"/>
        <v>0</v>
      </c>
      <c r="AE47" s="12" t="b">
        <f t="shared" si="13"/>
        <v>0</v>
      </c>
      <c r="AF47" s="12" t="s">
        <v>206</v>
      </c>
      <c r="AG47" s="12"/>
      <c r="AH47" s="12" t="s">
        <v>559</v>
      </c>
    </row>
    <row r="48" spans="1:34" ht="21" customHeight="1">
      <c r="A48" s="3" t="s">
        <v>560</v>
      </c>
      <c r="B48" s="3" t="s">
        <v>561</v>
      </c>
      <c r="C48" s="3" t="s">
        <v>562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 t="s">
        <v>562</v>
      </c>
      <c r="Q48" s="3" t="str">
        <f>"N/A"</f>
        <v>N/A</v>
      </c>
      <c r="R48" s="3" t="str">
        <f t="shared" si="1"/>
        <v>PASS</v>
      </c>
      <c r="S48" s="3" t="s">
        <v>563</v>
      </c>
      <c r="T48" s="3" t="str">
        <f>S48</f>
        <v>JS_NON_CELL_NA</v>
      </c>
      <c r="U48" s="3" t="str">
        <f t="shared" si="3"/>
        <v>PASS</v>
      </c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4" ht="21" customHeight="1">
      <c r="A49" s="3" t="s">
        <v>564</v>
      </c>
      <c r="B49" s="3" t="s">
        <v>565</v>
      </c>
      <c r="C49" s="3" t="s">
        <v>562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 t="s">
        <v>562</v>
      </c>
      <c r="Q49" s="3" t="str">
        <f>"N/A"</f>
        <v>N/A</v>
      </c>
      <c r="R49" s="3" t="str">
        <f t="shared" si="1"/>
        <v>PASS</v>
      </c>
      <c r="S49" s="3" t="s">
        <v>566</v>
      </c>
      <c r="T49" s="3" t="str">
        <f>S49</f>
        <v>JS_METAMORPHIC_NA</v>
      </c>
      <c r="U49" s="3" t="str">
        <f t="shared" si="3"/>
        <v>PASS</v>
      </c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4" ht="21" customHeight="1">
      <c r="A50" s="3" t="s">
        <v>567</v>
      </c>
      <c r="B50" s="3" t="s">
        <v>568</v>
      </c>
      <c r="C50" s="3" t="s">
        <v>562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 t="s">
        <v>562</v>
      </c>
      <c r="Q50" s="3" t="str">
        <f>"N/A"</f>
        <v>N/A</v>
      </c>
      <c r="R50" s="3" t="str">
        <f t="shared" si="1"/>
        <v>PASS</v>
      </c>
      <c r="S50" s="3" t="s">
        <v>566</v>
      </c>
      <c r="T50" s="3" t="str">
        <f>S50</f>
        <v>JS_METAMORPHIC_NA</v>
      </c>
      <c r="U50" s="3" t="str">
        <f t="shared" si="3"/>
        <v>PASS</v>
      </c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</row>
    <row r="51" spans="1:3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3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3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3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3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3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3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3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3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3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3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3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3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3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80"/>
  <sheetViews>
    <sheetView workbookViewId="0"/>
  </sheetViews>
  <sheetFormatPr defaultRowHeight="14.25"/>
  <cols>
    <col min="1" max="1" width="28" customWidth="1"/>
    <col min="2" max="2" width="62" customWidth="1"/>
    <col min="3" max="3" width="52" customWidth="1"/>
  </cols>
  <sheetData>
    <row r="1" spans="1:21" ht="39.950000000000003" customHeight="1">
      <c r="A1" s="5" t="s">
        <v>569</v>
      </c>
      <c r="B1" s="5"/>
      <c r="C1" s="5"/>
      <c r="D1" s="5"/>
      <c r="E1" s="5"/>
      <c r="F1" s="5"/>
      <c r="G1" s="5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3.950000000000003" customHeight="1">
      <c r="A2" s="6" t="s">
        <v>570</v>
      </c>
      <c r="B2" s="6"/>
      <c r="C2" s="6"/>
      <c r="D2" s="6"/>
      <c r="E2" s="6"/>
      <c r="F2" s="6"/>
      <c r="G2" s="6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s="8" t="s">
        <v>312</v>
      </c>
      <c r="B4" s="3" t="s">
        <v>321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s="8" t="s">
        <v>256</v>
      </c>
      <c r="B5" s="3" t="s">
        <v>571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s="8" t="s">
        <v>572</v>
      </c>
      <c r="B6" s="3" t="s">
        <v>573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s="8" t="s">
        <v>574</v>
      </c>
      <c r="B7" s="3" t="s">
        <v>575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5.5">
      <c r="A8" s="8" t="s">
        <v>576</v>
      </c>
      <c r="B8" s="3" t="s">
        <v>577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5.5">
      <c r="A9" s="8" t="s">
        <v>578</v>
      </c>
      <c r="B9" s="3" t="s">
        <v>579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8" t="s">
        <v>580</v>
      </c>
      <c r="B10" s="3" t="s">
        <v>581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25.5">
      <c r="A11" s="8" t="s">
        <v>50</v>
      </c>
      <c r="B11" s="3" t="s">
        <v>582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25.5">
      <c r="A12" s="8" t="s">
        <v>48</v>
      </c>
      <c r="B12" s="3" t="s">
        <v>583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5.5">
      <c r="A13" s="8" t="s">
        <v>584</v>
      </c>
      <c r="B13" s="3" t="s">
        <v>585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66" customHeight="1">
      <c r="A14" s="8" t="s">
        <v>586</v>
      </c>
      <c r="B14" s="3" t="s">
        <v>587</v>
      </c>
      <c r="C14" s="3" t="s">
        <v>588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66" customHeight="1">
      <c r="A15" s="3" t="s">
        <v>589</v>
      </c>
      <c r="B15" s="3" t="s">
        <v>590</v>
      </c>
      <c r="C15" s="3" t="s">
        <v>591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66" customHeight="1">
      <c r="A16" s="3" t="s">
        <v>592</v>
      </c>
      <c r="B16" s="3" t="s">
        <v>593</v>
      </c>
      <c r="C16" s="3" t="s">
        <v>594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66" customHeight="1">
      <c r="A17" s="3" t="s">
        <v>595</v>
      </c>
      <c r="B17" s="3" t="s">
        <v>596</v>
      </c>
      <c r="C17" s="3" t="s">
        <v>597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Start Here</vt:lpstr>
      <vt:lpstr>Territory Comparison Cockpit</vt:lpstr>
      <vt:lpstr>Territory Register</vt:lpstr>
      <vt:lpstr>Boundary &amp; Scope</vt:lpstr>
      <vt:lpstr>Commercial Path Evidence</vt:lpstr>
      <vt:lpstr>Overlap &amp; Dependency</vt:lpstr>
      <vt:lpstr>Comparison Matrix</vt:lpstr>
      <vt:lpstr>Frontier &amp; Stability</vt:lpstr>
      <vt:lpstr>Scenario Review</vt:lpstr>
      <vt:lpstr>Comparison Records</vt:lpstr>
      <vt:lpstr>Worked Examples</vt:lpstr>
      <vt:lpstr>Controlled Definitions</vt:lpstr>
      <vt:lpstr>Canonical Fixtures</vt:lpstr>
      <vt:lpstr>Method Notes</vt:lpstr>
      <vt:lpstr>A40_TerritoryTypes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Pero Baldjiev</cp:lastModifiedBy>
  <dcterms:modified xsi:type="dcterms:W3CDTF">2026-08-07T12:37:48Z</dcterms:modified>
</cp:coreProperties>
</file>